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38400" windowHeight="19780" activeTab="0"/>
  </bookViews>
  <sheets>
    <sheet name="Gecorrigeerd" sheetId="1" r:id="rId1"/>
    <sheet name="Matrijstypes" sheetId="2" r:id="rId2"/>
    <sheet name="Tabellen" sheetId="3" r:id="rId3"/>
    <sheet name="Krachttabellen" sheetId="4" r:id="rId4"/>
    <sheet name="Taal" sheetId="5" r:id="rId5"/>
    <sheet name="Blad1 (oud)" sheetId="6" state="hidden" r:id="rId6"/>
  </sheets>
  <definedNames>
    <definedName name="Language_Sprache_Taal">'Taal'!$B$1:$D$1</definedName>
    <definedName name="Materiaaldikte_tov_V_breedte">'Tabellen'!$A$22:$C$58</definedName>
    <definedName name="Matrijs">'Matrijstypes'!$A$2:$A$5</definedName>
    <definedName name="Matrijsgegevens">'Matrijstypes'!$B$2:$G$5</definedName>
    <definedName name="Taaltabel">'Taal'!$A$2:$E$40</definedName>
    <definedName name="VLMBN_Hoek_Belasting">'Krachttabellen'!$C$2:$D$9</definedName>
    <definedName name="VLMDN_Hoek_Belasting">'Krachttabellen'!$C$10:$D$16</definedName>
    <definedName name="VLMEN_Hoek_Belasting">'Krachttabellen'!$C$17:$D$23</definedName>
    <definedName name="VLMFN_Hoek_Belasting">'Krachttabellen'!$C$24:$D$30</definedName>
  </definedNames>
  <calcPr fullCalcOnLoad="1"/>
</workbook>
</file>

<file path=xl/sharedStrings.xml><?xml version="1.0" encoding="utf-8"?>
<sst xmlns="http://schemas.openxmlformats.org/spreadsheetml/2006/main" count="426" uniqueCount="213">
  <si>
    <t>radialen</t>
  </si>
  <si>
    <t>mm</t>
  </si>
  <si>
    <t>S=materiaaldikte</t>
  </si>
  <si>
    <t>c</t>
  </si>
  <si>
    <t>R=radius</t>
  </si>
  <si>
    <t>d</t>
  </si>
  <si>
    <t>f x S</t>
  </si>
  <si>
    <t>x S</t>
  </si>
  <si>
    <t>α/2</t>
  </si>
  <si>
    <t>α = zethoek</t>
  </si>
  <si>
    <t>r_as</t>
  </si>
  <si>
    <t>Indringdiepte</t>
  </si>
  <si>
    <t>V-opening</t>
  </si>
  <si>
    <t>f x S =</t>
  </si>
  <si>
    <r>
      <t>β/2</t>
    </r>
    <r>
      <rPr>
        <sz val="10"/>
        <rFont val="Arial"/>
        <family val="0"/>
      </rPr>
      <t xml:space="preserve"> = 90</t>
    </r>
    <r>
      <rPr>
        <sz val="10"/>
        <rFont val="Arial"/>
        <family val="0"/>
      </rPr>
      <t>° - α/2</t>
    </r>
  </si>
  <si>
    <t>β =</t>
  </si>
  <si>
    <t>Ondergrens</t>
  </si>
  <si>
    <t>Bovengrens</t>
  </si>
  <si>
    <t>Waarde</t>
  </si>
  <si>
    <t>x</t>
  </si>
  <si>
    <t>y</t>
  </si>
  <si>
    <t>dikte</t>
  </si>
  <si>
    <t>Interpolatie Tabel</t>
  </si>
  <si>
    <t>Correctie factor buigkracht</t>
  </si>
  <si>
    <t xml:space="preserve">c </t>
  </si>
  <si>
    <t>Fb</t>
  </si>
  <si>
    <t>Treksterkte</t>
  </si>
  <si>
    <t>N/mm2</t>
  </si>
  <si>
    <t>ton/m</t>
  </si>
  <si>
    <t>Ingevoerde V-opening</t>
  </si>
  <si>
    <t>3,5S</t>
  </si>
  <si>
    <t>8,0S</t>
  </si>
  <si>
    <t>lengte boog binnenkant</t>
  </si>
  <si>
    <t>Lengte boog buitenkant</t>
  </si>
  <si>
    <t>Lengte boog middenlijn</t>
  </si>
  <si>
    <t>g</t>
  </si>
  <si>
    <t>c2</t>
  </si>
  <si>
    <t>alternatieve methode = c+c2</t>
  </si>
  <si>
    <t>d1</t>
  </si>
  <si>
    <t>b-maat</t>
  </si>
  <si>
    <t>l</t>
  </si>
  <si>
    <t>f</t>
  </si>
  <si>
    <t>2x(fxS)+Lengte boog middenlijn</t>
  </si>
  <si>
    <t>is altijd 3,5 bij berekende V en 90 graden !!!</t>
  </si>
  <si>
    <t>d2</t>
  </si>
  <si>
    <t>d3</t>
  </si>
  <si>
    <t>R-d1</t>
  </si>
  <si>
    <t>c3</t>
  </si>
  <si>
    <t>d4</t>
  </si>
  <si>
    <t>d5</t>
  </si>
  <si>
    <t>indringdiepte bij vrijbuigen R=0</t>
  </si>
  <si>
    <t>Bij een radius onstaat er een sector. Hoek van deze sector is β</t>
  </si>
  <si>
    <t>d6</t>
  </si>
  <si>
    <t>d7</t>
  </si>
  <si>
    <t>d8</t>
  </si>
  <si>
    <t>(R+S)-d7</t>
  </si>
  <si>
    <t>bij vrijbuigen</t>
  </si>
  <si>
    <t>V-opening verschil</t>
  </si>
  <si>
    <t>VLMFN</t>
  </si>
  <si>
    <t>VLMEN</t>
  </si>
  <si>
    <t>VLMBN</t>
  </si>
  <si>
    <t>VLMDN</t>
  </si>
  <si>
    <t>Bij een radius ontstaat er een sector. Hoek van deze sector is β</t>
  </si>
  <si>
    <t>Matrijstype</t>
  </si>
  <si>
    <t>Radius</t>
  </si>
  <si>
    <t>Matrijs (type)</t>
  </si>
  <si>
    <t>Hoek (tot) graden</t>
  </si>
  <si>
    <t>Max. belasting ton/m</t>
  </si>
  <si>
    <t>Vcorrectie mm</t>
  </si>
  <si>
    <t>V-Radius mm</t>
  </si>
  <si>
    <t>Maximale belasting</t>
  </si>
  <si>
    <t>Max. VLMBN</t>
  </si>
  <si>
    <t>Max. VLMDN</t>
  </si>
  <si>
    <t>Max. VLMEN</t>
  </si>
  <si>
    <t>Max. VLMFN</t>
  </si>
  <si>
    <t>Kleinere F</t>
  </si>
  <si>
    <t>Grotere F</t>
  </si>
  <si>
    <t>Kleiner hoek</t>
  </si>
  <si>
    <t>Grotere hoek</t>
  </si>
  <si>
    <t>Hoekverschil</t>
  </si>
  <si>
    <t>Vmin</t>
  </si>
  <si>
    <t>Vmax</t>
  </si>
  <si>
    <t>Vhoek-min</t>
  </si>
  <si>
    <t>b1-maat</t>
  </si>
  <si>
    <t>b2-maat</t>
  </si>
  <si>
    <t>graden</t>
  </si>
  <si>
    <t>Diepte-max</t>
  </si>
  <si>
    <t>Diepte-correctie (%)</t>
  </si>
  <si>
    <t>Materiaaldikte</t>
  </si>
  <si>
    <r>
      <t>Vet zwart</t>
    </r>
    <r>
      <rPr>
        <sz val="10"/>
        <rFont val="Arial"/>
        <family val="0"/>
      </rPr>
      <t xml:space="preserve"> zijn vaste waarden</t>
    </r>
  </si>
  <si>
    <r>
      <t>Blauwe waarden</t>
    </r>
    <r>
      <rPr>
        <sz val="10"/>
        <rFont val="Arial"/>
        <family val="0"/>
      </rPr>
      <t xml:space="preserve"> zijn berekende waarden</t>
    </r>
  </si>
  <si>
    <t>Advies (standaard)</t>
  </si>
  <si>
    <t>Factor V-breedte gecorrigeerd</t>
  </si>
  <si>
    <t>Factor V-breedte origineel</t>
  </si>
  <si>
    <t>is altijd 3,5 bij berekende V en 90 graden!!! Wordt nu de waarde uit de tabel gedeeld door 2 bij een bepaalde materiaaldikte.</t>
  </si>
  <si>
    <t>Hulpberekening voor zethoek 90 graden en/of radius kleiner materiaaldikte!</t>
  </si>
  <si>
    <t>α &lt; 90</t>
  </si>
  <si>
    <t>R &lt; s</t>
  </si>
  <si>
    <t>α &lt; 90 en R &lt; s</t>
  </si>
  <si>
    <t>Opmerking! pi / 4 = 90 graden in radialen</t>
  </si>
  <si>
    <t>Formule in K23 bevatte vroeger verwijzing B24 i.p.v. B26, dit is veranderd door de bepaling dat V bij kleinere zethoek dan 90 graden de V bij 90 graden moet zijn en/of bij R &lt; s de V de waarde moet hebben van R = s.</t>
  </si>
  <si>
    <t>Formule in B32 bevatte vroeger verwijzing B24 i.p.v. B26, dit is veranderd door de bepaling dat V bij kleinere zethoek dan 90 graden de V bij 90 graden moet zijn en/of bij R &lt; s de V de waarde moet hebben van R = s.</t>
  </si>
  <si>
    <t>Zetlengte</t>
  </si>
  <si>
    <t>Totaal benodigde kracht Ftot</t>
  </si>
  <si>
    <t>ton</t>
  </si>
  <si>
    <t>Cel</t>
  </si>
  <si>
    <t>Nederlands</t>
  </si>
  <si>
    <t>A2</t>
  </si>
  <si>
    <t>A3</t>
  </si>
  <si>
    <t>A4</t>
  </si>
  <si>
    <t>A5</t>
  </si>
  <si>
    <t>A6</t>
  </si>
  <si>
    <t>A8</t>
  </si>
  <si>
    <t>C2</t>
  </si>
  <si>
    <t>C3</t>
  </si>
  <si>
    <t>C4</t>
  </si>
  <si>
    <t>C5</t>
  </si>
  <si>
    <t>C6</t>
  </si>
  <si>
    <t>A10</t>
  </si>
  <si>
    <t>A26</t>
  </si>
  <si>
    <t>A49</t>
  </si>
  <si>
    <t>C26</t>
  </si>
  <si>
    <t>C49</t>
  </si>
  <si>
    <t>Grad</t>
  </si>
  <si>
    <t>Degrees</t>
  </si>
  <si>
    <t>Buigkracht Fb</t>
  </si>
  <si>
    <t>Radius R</t>
  </si>
  <si>
    <t>Zethoek α</t>
  </si>
  <si>
    <t>Materiaaldikte s</t>
  </si>
  <si>
    <t>Advies voor de in te voeren V-opening</t>
  </si>
  <si>
    <t>J22</t>
  </si>
  <si>
    <t>J26</t>
  </si>
  <si>
    <t>J40</t>
  </si>
  <si>
    <t>J45</t>
  </si>
  <si>
    <t>J46</t>
  </si>
  <si>
    <t>J47</t>
  </si>
  <si>
    <t>J49</t>
  </si>
  <si>
    <t>J50</t>
  </si>
  <si>
    <t>L22</t>
  </si>
  <si>
    <t>L26</t>
  </si>
  <si>
    <t>L40</t>
  </si>
  <si>
    <t>L45</t>
  </si>
  <si>
    <t>L46</t>
  </si>
  <si>
    <t>L47</t>
  </si>
  <si>
    <t>L49</t>
  </si>
  <si>
    <t>L50</t>
  </si>
  <si>
    <t>Q4</t>
  </si>
  <si>
    <t>Q26</t>
  </si>
  <si>
    <t>Q40</t>
  </si>
  <si>
    <t>Q49</t>
  </si>
  <si>
    <t>Biegekraft Fb</t>
  </si>
  <si>
    <t>Bending force Fb</t>
  </si>
  <si>
    <t>Maat b1</t>
  </si>
  <si>
    <t>Maat b2</t>
  </si>
  <si>
    <t>Maat b3</t>
  </si>
  <si>
    <t>Buigkracht per meter Fb</t>
  </si>
  <si>
    <t>Mass b1</t>
  </si>
  <si>
    <t>Mass b2</t>
  </si>
  <si>
    <t>Mass b3</t>
  </si>
  <si>
    <t>Biegekraft pro meter Fb</t>
  </si>
  <si>
    <t>Zethoek moet liggen tussen</t>
  </si>
  <si>
    <t>R4</t>
  </si>
  <si>
    <t>en 180 graden!</t>
  </si>
  <si>
    <t>V-opening moet liggen tussen</t>
  </si>
  <si>
    <t>R26</t>
  </si>
  <si>
    <t>S26</t>
  </si>
  <si>
    <t>en</t>
  </si>
  <si>
    <t>mm!</t>
  </si>
  <si>
    <t>Indringdiepte is te groot!</t>
  </si>
  <si>
    <t>Belasting is te groot!</t>
  </si>
  <si>
    <t>und</t>
  </si>
  <si>
    <t>und 180 Grad!</t>
  </si>
  <si>
    <t>and</t>
  </si>
  <si>
    <t>and 180 degrees!</t>
  </si>
  <si>
    <t>Material thickness s</t>
  </si>
  <si>
    <t>Advice (default)</t>
  </si>
  <si>
    <t>Bending force per meter Fb</t>
  </si>
  <si>
    <t>Total required force Ftot</t>
  </si>
  <si>
    <t>Load is too big!</t>
  </si>
  <si>
    <t>Bending angle α</t>
  </si>
  <si>
    <t>Bending length</t>
  </si>
  <si>
    <t>Measure b1</t>
  </si>
  <si>
    <t>Measure b2</t>
  </si>
  <si>
    <t>Measure b3</t>
  </si>
  <si>
    <t>Tensile strenght</t>
  </si>
  <si>
    <t>Bending angle should be between</t>
  </si>
  <si>
    <t>Biege länge</t>
  </si>
  <si>
    <t>Biegewinkel α</t>
  </si>
  <si>
    <t>Zugfestigkeit</t>
  </si>
  <si>
    <t>Blechdicke s</t>
  </si>
  <si>
    <t>Matrizen typ</t>
  </si>
  <si>
    <t>Total erforderliche Kraft Ftot</t>
  </si>
  <si>
    <t>V-Öffnung</t>
  </si>
  <si>
    <t>Empfehlung (Standard)</t>
  </si>
  <si>
    <t>Die type</t>
  </si>
  <si>
    <t>Bend radius R</t>
  </si>
  <si>
    <t>V opening</t>
  </si>
  <si>
    <t>V opening should be between</t>
  </si>
  <si>
    <t>Empfolene V-Öffnung</t>
  </si>
  <si>
    <t>Adviced V opening</t>
  </si>
  <si>
    <t>Eingabe V-Öffnung</t>
  </si>
  <si>
    <t>Entered V opening</t>
  </si>
  <si>
    <t>Penetration depth</t>
  </si>
  <si>
    <t>Penetration depth is to big!</t>
  </si>
  <si>
    <t>Der Biegewinkel hat einen Wert zwischen</t>
  </si>
  <si>
    <t>Die V-Öffnung hat einen Wert zwischen</t>
  </si>
  <si>
    <t>Biegekraft is zu gross!</t>
  </si>
  <si>
    <t>Eintauchtiefe ist zu gross!</t>
  </si>
  <si>
    <t>Eintauchtiefe</t>
  </si>
  <si>
    <t>Language Sprache Taal</t>
  </si>
  <si>
    <t>Deutsch</t>
  </si>
  <si>
    <t>English</t>
  </si>
  <si>
    <t>Gemaakte keuze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</si>
</sst>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000000"/>
    <numFmt numFmtId="190" formatCode="0.000"/>
    <numFmt numFmtId="191" formatCode="0.0000"/>
    <numFmt numFmtId="192" formatCode="0.000000"/>
    <numFmt numFmtId="193" formatCode="&quot;Ja&quot;;&quot;Ja&quot;;&quot;Nee&quot;"/>
    <numFmt numFmtId="194" formatCode="&quot;Waar&quot;;&quot;Waar&quot;;&quot;Niet waar&quot;"/>
    <numFmt numFmtId="195" formatCode="&quot;Aan&quot;;&quot;Aan&quot;;&quot;Uit&quot;"/>
    <numFmt numFmtId="196" formatCode="[$€-2]\ #.##000_);[Red]\([$€-2]\ #.##000\)"/>
    <numFmt numFmtId="197" formatCode="0.00000000"/>
    <numFmt numFmtId="198" formatCode="0.0000000"/>
    <numFmt numFmtId="199" formatCode="0.00000"/>
  </numFmts>
  <fonts count="49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1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57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0"/>
      <color indexed="13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1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191" fontId="1" fillId="0" borderId="0" xfId="0" applyNumberFormat="1" applyFont="1" applyAlignment="1" applyProtection="1">
      <alignment/>
      <protection hidden="1"/>
    </xf>
    <xf numFmtId="191" fontId="3" fillId="0" borderId="0" xfId="0" applyNumberFormat="1" applyFont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91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91" fontId="0" fillId="0" borderId="0" xfId="0" applyNumberFormat="1" applyAlignment="1" applyProtection="1">
      <alignment vertical="center"/>
      <protection hidden="1"/>
    </xf>
    <xf numFmtId="191" fontId="1" fillId="0" borderId="0" xfId="0" applyNumberFormat="1" applyFont="1" applyAlignment="1" applyProtection="1">
      <alignment vertical="center"/>
      <protection hidden="1"/>
    </xf>
    <xf numFmtId="191" fontId="3" fillId="0" borderId="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91" fontId="1" fillId="0" borderId="0" xfId="0" applyNumberFormat="1" applyFont="1" applyFill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91" fontId="3" fillId="0" borderId="0" xfId="0" applyNumberFormat="1" applyFont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" fontId="3" fillId="0" borderId="13" xfId="0" applyNumberFormat="1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1" fontId="9" fillId="0" borderId="0" xfId="0" applyNumberFormat="1" applyFont="1" applyFill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90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88" fontId="3" fillId="32" borderId="0" xfId="0" applyNumberFormat="1" applyFont="1" applyFill="1" applyAlignment="1" applyProtection="1">
      <alignment/>
      <protection hidden="1"/>
    </xf>
    <xf numFmtId="191" fontId="3" fillId="0" borderId="0" xfId="0" applyNumberFormat="1" applyFont="1" applyFill="1" applyAlignment="1" applyProtection="1">
      <alignment/>
      <protection hidden="1"/>
    </xf>
    <xf numFmtId="191" fontId="1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8" fontId="3" fillId="0" borderId="0" xfId="0" applyNumberFormat="1" applyFont="1" applyFill="1" applyAlignment="1" applyProtection="1">
      <alignment vertical="center"/>
      <protection hidden="1"/>
    </xf>
    <xf numFmtId="0" fontId="6" fillId="0" borderId="16" xfId="0" applyFont="1" applyBorder="1" applyAlignment="1">
      <alignment horizontal="center" wrapText="1"/>
    </xf>
    <xf numFmtId="0" fontId="6" fillId="0" borderId="0" xfId="0" applyFont="1" applyFill="1" applyAlignment="1" applyProtection="1">
      <alignment vertical="center"/>
      <protection hidden="1"/>
    </xf>
    <xf numFmtId="188" fontId="1" fillId="0" borderId="0" xfId="0" applyNumberFormat="1" applyFont="1" applyBorder="1" applyAlignment="1" applyProtection="1">
      <alignment vertical="center"/>
      <protection hidden="1"/>
    </xf>
    <xf numFmtId="0" fontId="3" fillId="4" borderId="21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vertical="center"/>
      <protection hidden="1"/>
    </xf>
    <xf numFmtId="0" fontId="3" fillId="4" borderId="23" xfId="0" applyFont="1" applyFill="1" applyBorder="1" applyAlignment="1" applyProtection="1">
      <alignment vertical="center"/>
      <protection hidden="1"/>
    </xf>
    <xf numFmtId="0" fontId="3" fillId="4" borderId="24" xfId="0" applyFont="1" applyFill="1" applyBorder="1" applyAlignment="1" applyProtection="1">
      <alignment vertical="center"/>
      <protection hidden="1"/>
    </xf>
    <xf numFmtId="0" fontId="3" fillId="4" borderId="25" xfId="0" applyFont="1" applyFill="1" applyBorder="1" applyAlignment="1" applyProtection="1">
      <alignment vertical="center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191" fontId="3" fillId="4" borderId="29" xfId="0" applyNumberFormat="1" applyFont="1" applyFill="1" applyBorder="1" applyAlignment="1" applyProtection="1">
      <alignment vertical="center"/>
      <protection hidden="1"/>
    </xf>
    <xf numFmtId="191" fontId="3" fillId="4" borderId="16" xfId="0" applyNumberFormat="1" applyFont="1" applyFill="1" applyBorder="1" applyAlignment="1" applyProtection="1">
      <alignment vertical="center"/>
      <protection hidden="1"/>
    </xf>
    <xf numFmtId="191" fontId="3" fillId="4" borderId="30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11" fillId="33" borderId="10" xfId="0" applyFont="1" applyFill="1" applyBorder="1" applyAlignment="1" applyProtection="1">
      <alignment horizontal="right" vertical="center"/>
      <protection hidden="1"/>
    </xf>
    <xf numFmtId="1" fontId="11" fillId="33" borderId="0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1" fontId="11" fillId="0" borderId="0" xfId="0" applyNumberFormat="1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1" fontId="3" fillId="32" borderId="0" xfId="0" applyNumberFormat="1" applyFont="1" applyFill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right" vertical="center"/>
      <protection hidden="1" locked="0"/>
    </xf>
    <xf numFmtId="0" fontId="3" fillId="32" borderId="0" xfId="0" applyFont="1" applyFill="1" applyAlignment="1" applyProtection="1">
      <alignment vertical="center"/>
      <protection hidden="1"/>
    </xf>
    <xf numFmtId="0" fontId="6" fillId="0" borderId="31" xfId="0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horizontal="right" vertical="center"/>
      <protection hidden="1"/>
    </xf>
    <xf numFmtId="0" fontId="6" fillId="0" borderId="33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1" fillId="33" borderId="31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35" xfId="0" applyFill="1" applyBorder="1" applyAlignment="1" applyProtection="1">
      <alignment horizontal="center" vertical="center"/>
      <protection hidden="1"/>
    </xf>
    <xf numFmtId="0" fontId="0" fillId="10" borderId="36" xfId="0" applyFill="1" applyBorder="1" applyAlignment="1" applyProtection="1">
      <alignment horizontal="center" vertical="center"/>
      <protection hidden="1"/>
    </xf>
    <xf numFmtId="0" fontId="0" fillId="10" borderId="16" xfId="0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10" borderId="0" xfId="0" applyFont="1" applyFill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 wrapText="1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33" borderId="33" xfId="0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ont>
        <b/>
        <i val="0"/>
        <u val="none"/>
        <color indexed="13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3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rgb="FFFCF305"/>
      </font>
      <fill>
        <patternFill>
          <bgColor rgb="FFDD0806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2</xdr:row>
      <xdr:rowOff>9525</xdr:rowOff>
    </xdr:from>
    <xdr:to>
      <xdr:col>16</xdr:col>
      <xdr:colOff>0</xdr:colOff>
      <xdr:row>5</xdr:row>
      <xdr:rowOff>85725</xdr:rowOff>
    </xdr:to>
    <xdr:pic>
      <xdr:nvPicPr>
        <xdr:cNvPr id="1" name="Picture 1" descr="Dutch Product Presentation VL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66675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1314450</xdr:colOff>
      <xdr:row>45</xdr:row>
      <xdr:rowOff>0</xdr:rowOff>
    </xdr:to>
    <xdr:pic>
      <xdr:nvPicPr>
        <xdr:cNvPr id="2" name="Picture 33" descr="20120220 - Tekening maat B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828925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1314450</xdr:colOff>
      <xdr:row>46</xdr:row>
      <xdr:rowOff>0</xdr:rowOff>
    </xdr:to>
    <xdr:pic>
      <xdr:nvPicPr>
        <xdr:cNvPr id="3" name="Picture 34" descr="20120220 - Tekening maat B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3648075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1314450</xdr:colOff>
      <xdr:row>47</xdr:row>
      <xdr:rowOff>0</xdr:rowOff>
    </xdr:to>
    <xdr:pic>
      <xdr:nvPicPr>
        <xdr:cNvPr id="4" name="Picture 35" descr="20120220 - Tekening maat B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4467225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66675</xdr:rowOff>
    </xdr:from>
    <xdr:to>
      <xdr:col>10</xdr:col>
      <xdr:colOff>552450</xdr:colOff>
      <xdr:row>4</xdr:row>
      <xdr:rowOff>38100</xdr:rowOff>
    </xdr:to>
    <xdr:pic>
      <xdr:nvPicPr>
        <xdr:cNvPr id="1" name="Picture 1" descr="Dutch Product Presentation VL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6675"/>
          <a:ext cx="2238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jst1" displayName="Lijst1" ref="A1:G5" totalsRowCount="1">
  <autoFilter ref="A1:G5"/>
  <tableColumns count="7">
    <tableColumn id="1" name="Matrijstype"/>
    <tableColumn id="2" name="Radius" totalsRowFunction="sum"/>
    <tableColumn id="3" name="Vmin"/>
    <tableColumn id="4" name="Vmax"/>
    <tableColumn id="5" name="Vhoek-min"/>
    <tableColumn id="6" name="Diepte-max"/>
    <tableColumn id="7" name="Diepte-correctie (%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56"/>
  <sheetViews>
    <sheetView tabSelected="1" workbookViewId="0" topLeftCell="A2">
      <selection activeCell="B2" sqref="B2"/>
    </sheetView>
  </sheetViews>
  <sheetFormatPr defaultColWidth="23.00390625" defaultRowHeight="14.25" customHeight="1"/>
  <cols>
    <col min="1" max="1" width="38.421875" style="13" customWidth="1"/>
    <col min="2" max="2" width="9.421875" style="13" customWidth="1"/>
    <col min="3" max="3" width="8.421875" style="14" customWidth="1"/>
    <col min="4" max="4" width="10.7109375" style="13" hidden="1" customWidth="1"/>
    <col min="5" max="7" width="15.7109375" style="13" hidden="1" customWidth="1"/>
    <col min="8" max="8" width="10.7109375" style="13" hidden="1" customWidth="1"/>
    <col min="9" max="9" width="9.8515625" style="13" customWidth="1"/>
    <col min="10" max="10" width="27.7109375" style="13" bestFit="1" customWidth="1"/>
    <col min="11" max="11" width="12.421875" style="13" customWidth="1"/>
    <col min="12" max="12" width="8.140625" style="13" customWidth="1"/>
    <col min="13" max="13" width="20.421875" style="13" customWidth="1"/>
    <col min="14" max="14" width="8.8515625" style="13" customWidth="1"/>
    <col min="15" max="15" width="11.28125" style="13" customWidth="1"/>
    <col min="16" max="16" width="11.7109375" style="13" bestFit="1" customWidth="1"/>
    <col min="17" max="19" width="11.421875" style="121" bestFit="1" customWidth="1"/>
    <col min="20" max="16384" width="23.00390625" style="13" customWidth="1"/>
  </cols>
  <sheetData>
    <row r="1" spans="9:10" ht="37.5" customHeight="1" thickBot="1">
      <c r="I1" s="120" t="s">
        <v>209</v>
      </c>
      <c r="J1" s="137" t="s">
        <v>211</v>
      </c>
    </row>
    <row r="2" spans="1:3" ht="14.25" customHeight="1">
      <c r="A2" s="13" t="str">
        <f>Taal!E2</f>
        <v>Bending length</v>
      </c>
      <c r="B2" s="15">
        <v>3700</v>
      </c>
      <c r="C2" s="14" t="str">
        <f>Taal!E11</f>
        <v>mm</v>
      </c>
    </row>
    <row r="3" spans="1:3" ht="14.25" customHeight="1" thickBot="1">
      <c r="A3" s="13" t="str">
        <f>Taal!E3</f>
        <v>Bend radius R</v>
      </c>
      <c r="B3" s="15">
        <v>50</v>
      </c>
      <c r="C3" s="14" t="str">
        <f>Taal!E12</f>
        <v>mm</v>
      </c>
    </row>
    <row r="4" spans="1:18" ht="14.25" customHeight="1" thickBot="1" thickTop="1">
      <c r="A4" s="16" t="str">
        <f>Taal!E4</f>
        <v>Bending angle α</v>
      </c>
      <c r="B4" s="15">
        <v>83</v>
      </c>
      <c r="C4" s="14" t="str">
        <f>Taal!E13</f>
        <v>Degrees</v>
      </c>
      <c r="D4" s="16" t="s">
        <v>15</v>
      </c>
      <c r="E4" s="17">
        <f>180-B4</f>
        <v>97</v>
      </c>
      <c r="F4" s="13" t="s">
        <v>0</v>
      </c>
      <c r="G4" s="17">
        <f>(E4/180)*PI()</f>
        <v>1.6929693744344996</v>
      </c>
      <c r="H4" s="17"/>
      <c r="I4" s="138">
        <f>IF(AND(B4&gt;=VLOOKUP(B7,Matrijsgegevens,4,TRUE),B4&lt;=180),"",Q4&amp;" "&amp;VLOOKUP(B7,Matrijsgegevens,4,TRUE)&amp;" "&amp;R4)</f>
      </c>
      <c r="J4" s="139"/>
      <c r="K4" s="139"/>
      <c r="L4" s="140"/>
      <c r="M4" s="18"/>
      <c r="N4" s="19"/>
      <c r="Q4" s="121" t="str">
        <f>Taal!E34</f>
        <v>Bending angle should be between</v>
      </c>
      <c r="R4" s="121" t="str">
        <f>Taal!E38</f>
        <v>and 180 degrees!</v>
      </c>
    </row>
    <row r="5" spans="1:3" ht="14.25" customHeight="1" thickTop="1">
      <c r="A5" s="13" t="str">
        <f>Taal!E5</f>
        <v>Material thickness s</v>
      </c>
      <c r="B5" s="15">
        <v>20</v>
      </c>
      <c r="C5" s="14" t="str">
        <f>Taal!E14</f>
        <v>mm</v>
      </c>
    </row>
    <row r="6" spans="1:3" ht="14.25" customHeight="1">
      <c r="A6" s="13" t="str">
        <f>Taal!E6</f>
        <v>Tensile strenght</v>
      </c>
      <c r="B6" s="15">
        <v>550</v>
      </c>
      <c r="C6" s="14" t="str">
        <f>Taal!E15</f>
        <v>N/mm2</v>
      </c>
    </row>
    <row r="7" spans="1:3" ht="30" customHeight="1" hidden="1">
      <c r="A7" s="13" t="s">
        <v>10</v>
      </c>
      <c r="B7" s="112">
        <f>VLOOKUP(B8,Matrijstypes!A2:B5,2,FALSE)</f>
        <v>20</v>
      </c>
      <c r="C7" s="14" t="s">
        <v>1</v>
      </c>
    </row>
    <row r="8" spans="1:6" ht="14.25" customHeight="1">
      <c r="A8" s="13" t="str">
        <f>Taal!E7</f>
        <v>Die type</v>
      </c>
      <c r="B8" s="111" t="s">
        <v>59</v>
      </c>
      <c r="F8" s="104">
        <f>E17/COS(E12)</f>
        <v>96.04238579583293</v>
      </c>
    </row>
    <row r="9" spans="1:3" ht="14.25" customHeight="1" thickBot="1">
      <c r="A9" s="107"/>
      <c r="B9" s="107"/>
      <c r="C9" s="107"/>
    </row>
    <row r="10" spans="1:3" ht="14.25" customHeight="1">
      <c r="A10" s="143" t="str">
        <f>Taal!E8</f>
        <v>Advice (default)</v>
      </c>
      <c r="B10" s="144"/>
      <c r="C10" s="145"/>
    </row>
    <row r="11" spans="1:14" ht="14.25" customHeight="1" hidden="1">
      <c r="A11" s="23" t="s">
        <v>8</v>
      </c>
      <c r="B11" s="84">
        <f>B4/2</f>
        <v>41.5</v>
      </c>
      <c r="C11" s="22"/>
      <c r="D11" s="13" t="s">
        <v>0</v>
      </c>
      <c r="E11" s="17">
        <f>(B11/180)*PI()</f>
        <v>0.7243116395776468</v>
      </c>
      <c r="N11" s="24"/>
    </row>
    <row r="12" spans="1:14" ht="14.25" customHeight="1" hidden="1">
      <c r="A12" s="23" t="s">
        <v>14</v>
      </c>
      <c r="B12" s="84">
        <f>90-B11</f>
        <v>48.5</v>
      </c>
      <c r="C12" s="22"/>
      <c r="D12" s="13" t="s">
        <v>0</v>
      </c>
      <c r="E12" s="17">
        <f>(B12/180)*PI()</f>
        <v>0.8464846872172498</v>
      </c>
      <c r="N12" s="24"/>
    </row>
    <row r="13" spans="1:14" ht="14.25" customHeight="1" hidden="1" thickBot="1">
      <c r="A13" s="23"/>
      <c r="B13" s="25"/>
      <c r="C13" s="22"/>
      <c r="E13" s="17"/>
      <c r="N13" s="24"/>
    </row>
    <row r="14" spans="1:14" ht="14.25" customHeight="1" hidden="1" thickBot="1" thickTop="1">
      <c r="A14" s="23"/>
      <c r="B14" s="25"/>
      <c r="C14" s="22"/>
      <c r="E14" s="91"/>
      <c r="F14" s="92" t="s">
        <v>95</v>
      </c>
      <c r="G14" s="93"/>
      <c r="N14" s="24"/>
    </row>
    <row r="15" spans="1:7" ht="14.25" customHeight="1" hidden="1">
      <c r="A15" s="23" t="s">
        <v>6</v>
      </c>
      <c r="B15" s="26">
        <f>VLOOKUP($B$5,Materiaaldikte_tov_V_breedte,2,1)/2</f>
        <v>4.5</v>
      </c>
      <c r="C15" s="22" t="s">
        <v>7</v>
      </c>
      <c r="D15" s="13" t="s">
        <v>94</v>
      </c>
      <c r="E15" s="85"/>
      <c r="F15" s="86"/>
      <c r="G15" s="87"/>
    </row>
    <row r="16" spans="1:14" ht="14.25" customHeight="1" hidden="1" thickBot="1">
      <c r="A16" s="23" t="s">
        <v>13</v>
      </c>
      <c r="B16" s="25">
        <f>B15*B5</f>
        <v>90</v>
      </c>
      <c r="C16" s="22" t="s">
        <v>1</v>
      </c>
      <c r="E16" s="85" t="s">
        <v>96</v>
      </c>
      <c r="F16" s="86" t="s">
        <v>97</v>
      </c>
      <c r="G16" s="87" t="s">
        <v>98</v>
      </c>
      <c r="N16" s="27"/>
    </row>
    <row r="17" spans="1:14" ht="14.25" customHeight="1" hidden="1" thickBot="1">
      <c r="A17" s="21" t="s">
        <v>3</v>
      </c>
      <c r="B17" s="25">
        <f>B16*COS(E12)</f>
        <v>59.635804339416374</v>
      </c>
      <c r="C17" s="22" t="s">
        <v>1</v>
      </c>
      <c r="E17" s="95">
        <f>B16*COS(PI()/4)</f>
        <v>63.63961030678928</v>
      </c>
      <c r="F17" s="96">
        <f>B16*COS(E12)</f>
        <v>59.635804339416374</v>
      </c>
      <c r="G17" s="97">
        <f>B16*COS(PI()/4)</f>
        <v>63.63961030678928</v>
      </c>
      <c r="N17" s="28"/>
    </row>
    <row r="18" spans="1:14" ht="14.25" customHeight="1" hidden="1" thickBot="1">
      <c r="A18" s="21" t="s">
        <v>36</v>
      </c>
      <c r="B18" s="25">
        <f>(B3+B5)*SIN(E12)</f>
        <v>52.42690045523015</v>
      </c>
      <c r="C18" s="22" t="s">
        <v>1</v>
      </c>
      <c r="E18" s="95">
        <f>(B3+B5)*SIN(PI()/4)</f>
        <v>49.49747468305832</v>
      </c>
      <c r="F18" s="96">
        <f>(B5+B5)*SIN(E12)</f>
        <v>29.958228831560085</v>
      </c>
      <c r="G18" s="97">
        <f>(B5+B5)*SIN(PI()/4)</f>
        <v>28.2842712474619</v>
      </c>
      <c r="N18" s="28"/>
    </row>
    <row r="19" spans="1:14" ht="14.25" customHeight="1" hidden="1" thickBot="1">
      <c r="A19" s="21" t="s">
        <v>5</v>
      </c>
      <c r="B19" s="25">
        <f>B15*B5*SIN(E12)</f>
        <v>67.40601487101019</v>
      </c>
      <c r="C19" s="22" t="s">
        <v>1</v>
      </c>
      <c r="E19" s="95">
        <f>B15*B5*SIN(PI()/4)</f>
        <v>63.63961030678927</v>
      </c>
      <c r="F19" s="96">
        <f>B15*B5*SIN(E12)</f>
        <v>67.40601487101019</v>
      </c>
      <c r="G19" s="97">
        <f>B15*B5*SIN(PI()/4)</f>
        <v>63.63961030678927</v>
      </c>
      <c r="J19" s="13" t="s">
        <v>5</v>
      </c>
      <c r="K19" s="13">
        <f>K30*B5*SIN(E12)</f>
        <v>96.15764684584795</v>
      </c>
      <c r="L19" s="13" t="s">
        <v>1</v>
      </c>
      <c r="N19" s="28"/>
    </row>
    <row r="20" spans="1:7" ht="14.25" customHeight="1" hidden="1" thickBot="1">
      <c r="A20" s="21" t="s">
        <v>38</v>
      </c>
      <c r="B20" s="25">
        <f>B7*COS(E12)</f>
        <v>13.25240096431475</v>
      </c>
      <c r="C20" s="22" t="s">
        <v>1</v>
      </c>
      <c r="E20" s="95">
        <f>B7*COS(PI()/4)</f>
        <v>14.142135623730951</v>
      </c>
      <c r="F20" s="96">
        <f>B7*COS(E12)</f>
        <v>13.25240096431475</v>
      </c>
      <c r="G20" s="97">
        <f>B7*COS(PI()/4)</f>
        <v>14.142135623730951</v>
      </c>
    </row>
    <row r="21" spans="1:7" ht="14.25" customHeight="1" hidden="1" thickBot="1">
      <c r="A21" s="21" t="s">
        <v>47</v>
      </c>
      <c r="B21" s="25">
        <f>(B3+B5)*COS(E11)</f>
        <v>52.426900455230154</v>
      </c>
      <c r="C21" s="22" t="s">
        <v>1</v>
      </c>
      <c r="E21" s="95">
        <f>(B3+B5)*COS(PI()/4)</f>
        <v>49.49747468305833</v>
      </c>
      <c r="F21" s="96">
        <f>(B5+B5)*COS(E11)</f>
        <v>29.95822883156009</v>
      </c>
      <c r="G21" s="97">
        <f>(B5+B5)*COS(PI()/4)</f>
        <v>28.284271247461902</v>
      </c>
    </row>
    <row r="22" spans="1:12" ht="14.25" customHeight="1" thickBot="1">
      <c r="A22" s="21"/>
      <c r="B22" s="25"/>
      <c r="C22" s="22"/>
      <c r="E22" s="85"/>
      <c r="F22" s="86"/>
      <c r="G22" s="87"/>
      <c r="J22" s="13" t="str">
        <f>Taal!E18</f>
        <v>V opening</v>
      </c>
      <c r="K22" s="98">
        <f>K23</f>
        <v>48.725830020304784</v>
      </c>
      <c r="L22" s="13" t="str">
        <f>Taal!E26</f>
        <v>mm</v>
      </c>
    </row>
    <row r="23" spans="1:13" ht="14.25" customHeight="1" hidden="1" thickBot="1">
      <c r="A23" s="21" t="s">
        <v>12</v>
      </c>
      <c r="B23" s="25">
        <f>8.5*B5</f>
        <v>170</v>
      </c>
      <c r="C23" s="22" t="s">
        <v>1</v>
      </c>
      <c r="D23" s="13" t="s">
        <v>56</v>
      </c>
      <c r="E23" s="85" t="s">
        <v>99</v>
      </c>
      <c r="F23" s="86"/>
      <c r="G23" s="87"/>
      <c r="J23" s="13" t="s">
        <v>57</v>
      </c>
      <c r="K23" s="27">
        <f>K26-B26</f>
        <v>48.725830020304784</v>
      </c>
      <c r="L23" s="13" t="s">
        <v>1</v>
      </c>
      <c r="M23" s="13" t="s">
        <v>100</v>
      </c>
    </row>
    <row r="24" spans="1:7" ht="14.25" customHeight="1" hidden="1" thickBot="1">
      <c r="A24" s="21" t="s">
        <v>12</v>
      </c>
      <c r="B24" s="29">
        <f>2*(B17+B18)</f>
        <v>224.12540958929304</v>
      </c>
      <c r="C24" s="22" t="s">
        <v>1</v>
      </c>
      <c r="D24" s="13" t="s">
        <v>37</v>
      </c>
      <c r="E24" s="95">
        <f>2*(E17+E18)</f>
        <v>226.27416997969522</v>
      </c>
      <c r="F24" s="96">
        <f>2*(F17+F18)</f>
        <v>179.18806634195292</v>
      </c>
      <c r="G24" s="97">
        <f>2*(G17+G18)</f>
        <v>183.84776310850236</v>
      </c>
    </row>
    <row r="25" spans="1:7" ht="14.25" customHeight="1" hidden="1" thickBot="1">
      <c r="A25" s="21" t="s">
        <v>12</v>
      </c>
      <c r="B25" s="29">
        <f>2*(B17+B18)</f>
        <v>224.12540958929304</v>
      </c>
      <c r="C25" s="22"/>
      <c r="E25" s="85"/>
      <c r="F25" s="86"/>
      <c r="G25" s="87"/>
    </row>
    <row r="26" spans="1:19" ht="14.25" customHeight="1" thickBot="1" thickTop="1">
      <c r="A26" s="99" t="str">
        <f>Taal!E9</f>
        <v>Adviced V opening</v>
      </c>
      <c r="B26" s="100">
        <f>IF(IF(AND($B$4&lt;90,$B$3&lt;$B$5),$G$24,IF($B$3&lt;$B$5,$F$24,IF($B$4&lt;90,$E$24,$B$24)))&lt;B24,B24,IF(AND($B$4&lt;90,$B$3&lt;$B$5),$G$24,IF($B$3&lt;$B$5,$F$24,IF($B$4&lt;90,$E$24,$B$24))))</f>
        <v>226.27416997969522</v>
      </c>
      <c r="C26" s="22" t="str">
        <f>Taal!E16</f>
        <v>mm</v>
      </c>
      <c r="E26" s="88"/>
      <c r="F26" s="89"/>
      <c r="G26" s="90"/>
      <c r="J26" s="31" t="str">
        <f>Taal!E19</f>
        <v>Entered V opening</v>
      </c>
      <c r="K26" s="106">
        <v>275</v>
      </c>
      <c r="L26" s="13" t="str">
        <f>Taal!E27</f>
        <v>mm</v>
      </c>
      <c r="M26" s="138">
        <f>IF(AND(K26&gt;=VLOOKUP(B7,Matrijsgegevens,2,TRUE),K26&lt;=VLOOKUP(B7,Matrijsgegevens,3,TRUE)),"",Q26&amp;" "&amp;VLOOKUP(B7,Matrijsgegevens,2,TRUE)&amp;" "&amp;R26&amp;" "&amp;VLOOKUP(B7,Matrijsgegevens,3,TRUE)&amp;" "&amp;S26)</f>
      </c>
      <c r="N26" s="139"/>
      <c r="O26" s="139"/>
      <c r="P26" s="140"/>
      <c r="Q26" s="121" t="str">
        <f>Taal!E35</f>
        <v>V opening should be between</v>
      </c>
      <c r="R26" s="121" t="str">
        <f>Taal!E39</f>
        <v>and</v>
      </c>
      <c r="S26" s="121" t="str">
        <f>Taal!E40</f>
        <v>mm!</v>
      </c>
    </row>
    <row r="27" spans="1:19" ht="14.25" customHeight="1" thickBot="1" thickTop="1">
      <c r="A27" s="21"/>
      <c r="B27" s="25"/>
      <c r="C27" s="22"/>
      <c r="J27" s="83"/>
      <c r="K27" s="81"/>
      <c r="S27" s="121" t="str">
        <f>Taal!E40</f>
        <v>mm!</v>
      </c>
    </row>
    <row r="28" spans="1:12" ht="14.25" customHeight="1" hidden="1">
      <c r="A28" s="21" t="s">
        <v>44</v>
      </c>
      <c r="B28" s="32">
        <f>$K28*COS($E11)</f>
        <v>155.41547812474104</v>
      </c>
      <c r="C28" s="22" t="s">
        <v>1</v>
      </c>
      <c r="E28" s="32">
        <f>$K28*COS($E11)</f>
        <v>155.41547812474104</v>
      </c>
      <c r="F28" s="32">
        <f>$K28*COS($E11)</f>
        <v>155.41547812474104</v>
      </c>
      <c r="G28" s="32">
        <f>$K28*COS($E11)</f>
        <v>155.41547812474104</v>
      </c>
      <c r="J28" s="13" t="s">
        <v>40</v>
      </c>
      <c r="K28" s="27">
        <f>(K26/2)/(SIN(E11))</f>
        <v>207.50956807034672</v>
      </c>
      <c r="L28" s="13" t="s">
        <v>1</v>
      </c>
    </row>
    <row r="29" spans="1:11" ht="14.25" customHeight="1" hidden="1">
      <c r="A29" s="21" t="s">
        <v>45</v>
      </c>
      <c r="B29" s="25">
        <f>$B7-B20</f>
        <v>6.7475990356852495</v>
      </c>
      <c r="C29" s="22" t="s">
        <v>1</v>
      </c>
      <c r="D29" s="13" t="s">
        <v>46</v>
      </c>
      <c r="E29" s="25">
        <f>$B7-E20</f>
        <v>5.857864376269049</v>
      </c>
      <c r="F29" s="25">
        <f>$B7-F20</f>
        <v>6.7475990356852495</v>
      </c>
      <c r="G29" s="25">
        <f>$B7-G20</f>
        <v>5.857864376269049</v>
      </c>
      <c r="J29" s="13" t="s">
        <v>35</v>
      </c>
      <c r="K29" s="13">
        <f>(B5+B3)/TAN(E11)</f>
        <v>79.1206070453227</v>
      </c>
    </row>
    <row r="30" spans="1:11" ht="14.25" customHeight="1" hidden="1">
      <c r="A30" s="21" t="s">
        <v>48</v>
      </c>
      <c r="B30" s="25">
        <f>B21*TAN($E12)</f>
        <v>59.257831278893065</v>
      </c>
      <c r="C30" s="22" t="s">
        <v>1</v>
      </c>
      <c r="E30" s="25">
        <f>E21*TAN($E12)</f>
        <v>55.946717773343806</v>
      </c>
      <c r="F30" s="25">
        <f>F21*TAN($E12)</f>
        <v>33.86161787365318</v>
      </c>
      <c r="G30" s="25">
        <f>G21*TAN($E12)</f>
        <v>31.96955301333932</v>
      </c>
      <c r="J30" s="13" t="s">
        <v>41</v>
      </c>
      <c r="K30" s="13">
        <f>(K28-K29)/B5</f>
        <v>6.4194480512512</v>
      </c>
    </row>
    <row r="31" spans="1:12" ht="14.25" customHeight="1" hidden="1">
      <c r="A31" s="21" t="s">
        <v>49</v>
      </c>
      <c r="B31" s="25">
        <f>B28-($B5+$B3)</f>
        <v>85.41547812474104</v>
      </c>
      <c r="C31" s="22" t="s">
        <v>1</v>
      </c>
      <c r="E31" s="25">
        <f>E28-($B5+$B3)</f>
        <v>85.41547812474104</v>
      </c>
      <c r="F31" s="25">
        <f>F28-($B5+$B3)</f>
        <v>85.41547812474104</v>
      </c>
      <c r="G31" s="25">
        <f>G28-($B5+$B3)</f>
        <v>85.41547812474104</v>
      </c>
      <c r="J31" s="16" t="s">
        <v>13</v>
      </c>
      <c r="K31" s="13">
        <f>K30*B5</f>
        <v>128.388961025024</v>
      </c>
      <c r="L31" s="13" t="s">
        <v>1</v>
      </c>
    </row>
    <row r="32" spans="1:10" ht="14.25" customHeight="1" hidden="1">
      <c r="A32" s="21" t="s">
        <v>20</v>
      </c>
      <c r="B32" s="25">
        <f>0.5*B26*TAN(E11)</f>
        <v>100.09523744873123</v>
      </c>
      <c r="C32" s="22" t="s">
        <v>1</v>
      </c>
      <c r="D32" s="13" t="s">
        <v>50</v>
      </c>
      <c r="E32" s="94" t="s">
        <v>101</v>
      </c>
      <c r="J32" s="16"/>
    </row>
    <row r="33" spans="1:10" ht="14.25" customHeight="1" hidden="1">
      <c r="A33" s="21"/>
      <c r="B33" s="25"/>
      <c r="C33" s="22"/>
      <c r="J33" s="16"/>
    </row>
    <row r="34" spans="1:10" ht="14.25" customHeight="1" hidden="1">
      <c r="A34" s="21" t="s">
        <v>62</v>
      </c>
      <c r="B34" s="25"/>
      <c r="C34" s="22"/>
      <c r="J34" s="16"/>
    </row>
    <row r="35" spans="1:10" ht="14.25" customHeight="1" hidden="1">
      <c r="A35" s="21" t="s">
        <v>52</v>
      </c>
      <c r="B35" s="25">
        <f>B18*TAN(E11)</f>
        <v>46.38340337510162</v>
      </c>
      <c r="C35" s="22" t="s">
        <v>1</v>
      </c>
      <c r="E35" s="25">
        <f>E18*TAN(E11)</f>
        <v>43.7916663838199</v>
      </c>
      <c r="F35" s="25">
        <f>F18*TAN(E11)</f>
        <v>26.5048019286295</v>
      </c>
      <c r="G35" s="25">
        <f>G18*TAN(E11)</f>
        <v>25.023809362182803</v>
      </c>
      <c r="J35" s="16"/>
    </row>
    <row r="36" spans="1:10" ht="14.25" customHeight="1" hidden="1">
      <c r="A36" s="21" t="s">
        <v>53</v>
      </c>
      <c r="B36" s="25">
        <f>B18*TAN(E12)</f>
        <v>59.25783127889305</v>
      </c>
      <c r="C36" s="22" t="s">
        <v>1</v>
      </c>
      <c r="E36" s="25">
        <f>E18*TAN(E12)</f>
        <v>55.9467177733438</v>
      </c>
      <c r="F36" s="25">
        <f>F18*TAN(E12)</f>
        <v>33.861617873653174</v>
      </c>
      <c r="G36" s="25">
        <f>G18*TAN(E12)</f>
        <v>31.96955301333931</v>
      </c>
      <c r="J36" s="16"/>
    </row>
    <row r="37" spans="1:10" ht="14.25" customHeight="1" hidden="1">
      <c r="A37" s="21" t="s">
        <v>54</v>
      </c>
      <c r="B37" s="25">
        <f>(B3+B5)-B36</f>
        <v>10.74216872110695</v>
      </c>
      <c r="C37" s="22" t="s">
        <v>1</v>
      </c>
      <c r="D37" s="13" t="s">
        <v>55</v>
      </c>
      <c r="E37" s="25">
        <f>(E3+E5)-E36</f>
        <v>-55.9467177733438</v>
      </c>
      <c r="F37" s="25">
        <f>(F3+F5)-F36</f>
        <v>-33.861617873653174</v>
      </c>
      <c r="G37" s="25">
        <f>(G3+G5)-G36</f>
        <v>-31.96955301333931</v>
      </c>
      <c r="J37" s="16"/>
    </row>
    <row r="38" spans="1:10" ht="14.25" customHeight="1" hidden="1">
      <c r="A38" s="21"/>
      <c r="B38" s="25"/>
      <c r="C38" s="22"/>
      <c r="J38" s="16"/>
    </row>
    <row r="39" spans="1:12" ht="14.25" customHeight="1" hidden="1" thickBot="1">
      <c r="A39" s="21" t="s">
        <v>11</v>
      </c>
      <c r="B39" s="30">
        <f>CEILING(($B3+$B5-$B35+$B19+$B29),1)</f>
        <v>98</v>
      </c>
      <c r="C39" s="22" t="s">
        <v>1</v>
      </c>
      <c r="E39" s="25">
        <f>($B3+$B5)-E35+E19+E29</f>
        <v>95.70580829923841</v>
      </c>
      <c r="F39" s="25">
        <f>($B3+$B5)-F35+F19+F29</f>
        <v>117.64881197806594</v>
      </c>
      <c r="G39" s="25">
        <f>($B3+$B5)-G35+G19+G29</f>
        <v>114.47366532087551</v>
      </c>
      <c r="J39" s="13" t="s">
        <v>11</v>
      </c>
      <c r="K39" s="27">
        <f>(B3+B5)-B35+K19+B29</f>
        <v>126.52184250643158</v>
      </c>
      <c r="L39" s="13" t="s">
        <v>1</v>
      </c>
    </row>
    <row r="40" spans="1:17" ht="14.25" customHeight="1" thickBot="1" thickTop="1">
      <c r="A40" s="101" t="s">
        <v>11</v>
      </c>
      <c r="B40" s="102">
        <f>CEILING(B$39,1)</f>
        <v>98</v>
      </c>
      <c r="C40" s="103" t="s">
        <v>1</v>
      </c>
      <c r="E40" s="30">
        <f>E39</f>
        <v>95.70580829923841</v>
      </c>
      <c r="F40" s="30">
        <f>F39</f>
        <v>117.64881197806594</v>
      </c>
      <c r="G40" s="30">
        <f>G39</f>
        <v>114.47366532087551</v>
      </c>
      <c r="J40" s="13" t="str">
        <f>Taal!E20</f>
        <v>Penetration depth</v>
      </c>
      <c r="K40" s="33">
        <f>CEILING(K39,1)</f>
        <v>127</v>
      </c>
      <c r="L40" s="13" t="str">
        <f>Taal!E28</f>
        <v>mm</v>
      </c>
      <c r="M40" s="141">
        <f>IF(K40&gt;(VLOOKUP(B7,Matrijsgegevens,5,TRUE)-((VLOOKUP(B7,Matrijsgegevens,6,TRUE)/100)*B5)),Q40,"")</f>
      </c>
      <c r="N40" s="142"/>
      <c r="O40" s="67"/>
      <c r="P40" s="67"/>
      <c r="Q40" s="121" t="str">
        <f>Taal!E36</f>
        <v>Penetration depth is to big!</v>
      </c>
    </row>
    <row r="41" spans="1:11" ht="14.25" customHeight="1" thickTop="1">
      <c r="A41" s="21"/>
      <c r="B41" s="25"/>
      <c r="C41" s="22"/>
      <c r="K41" s="34"/>
    </row>
    <row r="42" spans="1:14" ht="14.25" customHeight="1" hidden="1">
      <c r="A42" s="21" t="s">
        <v>32</v>
      </c>
      <c r="B42" s="25">
        <f>B3*G4</f>
        <v>84.64846872172498</v>
      </c>
      <c r="C42" s="22" t="s">
        <v>1</v>
      </c>
      <c r="K42" s="34"/>
      <c r="N42" s="28"/>
    </row>
    <row r="43" spans="1:14" ht="14.25" customHeight="1" hidden="1">
      <c r="A43" s="21" t="s">
        <v>33</v>
      </c>
      <c r="B43" s="25">
        <f>(B3+B5)*G4</f>
        <v>118.50785621041497</v>
      </c>
      <c r="C43" s="22" t="s">
        <v>1</v>
      </c>
      <c r="K43" s="34"/>
      <c r="N43" s="28"/>
    </row>
    <row r="44" spans="1:14" ht="14.25" customHeight="1" hidden="1">
      <c r="A44" s="21" t="s">
        <v>34</v>
      </c>
      <c r="B44" s="25">
        <f>(B42+B43)/2</f>
        <v>101.57816246606998</v>
      </c>
      <c r="C44" s="22" t="s">
        <v>1</v>
      </c>
      <c r="K44" s="34"/>
      <c r="N44" s="28"/>
    </row>
    <row r="45" spans="1:16" ht="64.5" customHeight="1">
      <c r="A45" s="108" t="s">
        <v>83</v>
      </c>
      <c r="B45" s="109">
        <f>B44+2*B16</f>
        <v>281.57816246607</v>
      </c>
      <c r="C45" s="110" t="s">
        <v>1</v>
      </c>
      <c r="D45" s="13" t="s">
        <v>42</v>
      </c>
      <c r="F45" s="104">
        <f>B44+2*F8</f>
        <v>293.6629340577358</v>
      </c>
      <c r="J45" s="13" t="str">
        <f>Taal!E21</f>
        <v>Measure b1</v>
      </c>
      <c r="K45" s="33">
        <f>2*K31+B44</f>
        <v>358.356084516118</v>
      </c>
      <c r="L45" s="13" t="str">
        <f>Taal!E29</f>
        <v>mm</v>
      </c>
      <c r="M45" s="20"/>
      <c r="N45" s="105"/>
      <c r="O45" s="105"/>
      <c r="P45" s="105"/>
    </row>
    <row r="46" spans="1:16" ht="64.5" customHeight="1">
      <c r="A46" s="108" t="s">
        <v>84</v>
      </c>
      <c r="B46" s="109">
        <f>B45/2</f>
        <v>140.789081233035</v>
      </c>
      <c r="C46" s="110" t="s">
        <v>1</v>
      </c>
      <c r="J46" s="13" t="str">
        <f>Taal!E22</f>
        <v>Measure b2</v>
      </c>
      <c r="K46" s="33">
        <f>K45/2</f>
        <v>179.178042258059</v>
      </c>
      <c r="L46" s="13" t="str">
        <f>Taal!E30</f>
        <v>mm</v>
      </c>
      <c r="M46" s="20"/>
      <c r="N46" s="105"/>
      <c r="O46" s="105"/>
      <c r="P46" s="105"/>
    </row>
    <row r="47" spans="1:16" ht="64.5" customHeight="1" thickBot="1">
      <c r="A47" s="21"/>
      <c r="B47" s="29"/>
      <c r="C47" s="22"/>
      <c r="J47" s="13" t="str">
        <f>Taal!E23</f>
        <v>Measure b3</v>
      </c>
      <c r="K47" s="33">
        <f>CEILING(K28,1)</f>
        <v>208</v>
      </c>
      <c r="L47" s="13" t="str">
        <f>Taal!E31</f>
        <v>mm</v>
      </c>
      <c r="M47" s="20"/>
      <c r="N47" s="105"/>
      <c r="O47" s="105"/>
      <c r="P47" s="105"/>
    </row>
    <row r="48" spans="1:12" ht="14.25" customHeight="1" hidden="1" thickBot="1">
      <c r="A48" s="21" t="s">
        <v>25</v>
      </c>
      <c r="B48" s="36">
        <f>(1/Tabellen!$B$16)*(Tabellen!$B$15*$B$5^2*$B$6)/(B23)</f>
        <v>211.0691371349763</v>
      </c>
      <c r="C48" s="22" t="s">
        <v>28</v>
      </c>
      <c r="E48" s="17"/>
      <c r="G48" s="17"/>
      <c r="H48" s="17"/>
      <c r="I48" s="17"/>
      <c r="J48" s="13" t="s">
        <v>25</v>
      </c>
      <c r="K48" s="37">
        <f>(1/Tabellen!$B$16)*(Tabellen!$B$15*$B$5^2*$B$6)/(B23+K23)</f>
        <v>164.04899828070143</v>
      </c>
      <c r="L48" s="13" t="s">
        <v>28</v>
      </c>
    </row>
    <row r="49" spans="1:17" ht="14.25" customHeight="1" thickBot="1" thickTop="1">
      <c r="A49" s="38" t="str">
        <f>Taal!E10</f>
        <v>Bending force Fb</v>
      </c>
      <c r="B49" s="39">
        <f>B48</f>
        <v>211.0691371349763</v>
      </c>
      <c r="C49" s="40" t="str">
        <f>Taal!E17</f>
        <v>ton/m</v>
      </c>
      <c r="J49" s="13" t="str">
        <f>Taal!E24</f>
        <v>Bending force per meter Fb</v>
      </c>
      <c r="K49" s="41">
        <f>K48</f>
        <v>164.04899828070143</v>
      </c>
      <c r="L49" s="13" t="str">
        <f>Taal!E32</f>
        <v>ton/m</v>
      </c>
      <c r="M49" s="42">
        <f>IF(K49&gt;K51,Q49,"")</f>
      </c>
      <c r="N49" s="35"/>
      <c r="Q49" s="121" t="str">
        <f>Taal!E37</f>
        <v>Load is too big!</v>
      </c>
    </row>
    <row r="50" spans="10:14" ht="14.25" customHeight="1" thickBot="1">
      <c r="J50" s="113" t="str">
        <f>Taal!E25</f>
        <v>Total required force Ftot</v>
      </c>
      <c r="K50" s="114">
        <f>(B2/1000)*K49</f>
        <v>606.9812936385953</v>
      </c>
      <c r="L50" s="115" t="str">
        <f>Taal!E33</f>
        <v>ton</v>
      </c>
      <c r="N50" s="35"/>
    </row>
    <row r="51" spans="10:12" ht="17.25" customHeight="1" hidden="1">
      <c r="J51" s="43" t="s">
        <v>70</v>
      </c>
      <c r="K51" s="44">
        <f>IF(B7=8,K53,IF(B7=12.5,K54,IF(B7=20,K55,K56)))</f>
        <v>384.44444444444446</v>
      </c>
      <c r="L51" s="43" t="s">
        <v>28</v>
      </c>
    </row>
    <row r="52" spans="11:17" ht="14.25" customHeight="1" hidden="1">
      <c r="K52" s="34"/>
      <c r="M52" s="13" t="s">
        <v>75</v>
      </c>
      <c r="N52" s="13" t="s">
        <v>76</v>
      </c>
      <c r="O52" s="13" t="s">
        <v>77</v>
      </c>
      <c r="P52" s="13" t="s">
        <v>78</v>
      </c>
      <c r="Q52" s="121" t="s">
        <v>79</v>
      </c>
    </row>
    <row r="53" spans="2:17" ht="14.25" customHeight="1" hidden="1">
      <c r="B53" s="45"/>
      <c r="J53" s="13" t="s">
        <v>71</v>
      </c>
      <c r="K53" s="46">
        <f>IF(ISERROR((((N53-M53)/Q53)*($B$4-O53))+M53),0,(((N53-M53)/Q53)*($B$4-O53))+M53)</f>
        <v>119.94444444444444</v>
      </c>
      <c r="L53" s="47"/>
      <c r="M53" s="13">
        <f>VLOOKUP($B$4,VLMBN_Hoek_Belasting,2,1)</f>
        <v>112</v>
      </c>
      <c r="N53" s="13">
        <f>VLOOKUP(($B$4+18),VLMBN_Hoek_Belasting,2,1)</f>
        <v>125</v>
      </c>
      <c r="O53" s="13">
        <f>VLOOKUP($B$4,VLMBN_Hoek_Belasting,1,1)</f>
        <v>72</v>
      </c>
      <c r="P53" s="13">
        <f>VLOOKUP(($B$4+18),VLMBN_Hoek_Belasting,1,1)</f>
        <v>90</v>
      </c>
      <c r="Q53" s="121">
        <f>IF((P53-O53)&gt;0,P53-O53,1)</f>
        <v>18</v>
      </c>
    </row>
    <row r="54" spans="2:17" ht="14.25" customHeight="1" hidden="1">
      <c r="B54" s="45"/>
      <c r="J54" s="13" t="s">
        <v>72</v>
      </c>
      <c r="K54" s="46">
        <f>IF(ISERROR((((N54-M54)/Q54)*($B$4-O54))+M54),0,(((N54-M54)/Q54)*($B$4-O54))+M54)</f>
        <v>194.16666666666666</v>
      </c>
      <c r="L54" s="47"/>
      <c r="M54" s="13">
        <f>VLOOKUP($B$4,VLMDN_Hoek_Belasting,2,1)</f>
        <v>185</v>
      </c>
      <c r="N54" s="13">
        <f>VLOOKUP(($B$4+18),VLMDN_Hoek_Belasting,2,1)</f>
        <v>200</v>
      </c>
      <c r="O54" s="13">
        <f>VLOOKUP($B$4,VLMDN_Hoek_Belasting,1,1)</f>
        <v>72</v>
      </c>
      <c r="P54" s="13">
        <f>VLOOKUP(($B$4+18),VLMDN_Hoek_Belasting,1,1)</f>
        <v>90</v>
      </c>
      <c r="Q54" s="121">
        <f>IF((P54-O54)&gt;0,P54-O54,1)</f>
        <v>18</v>
      </c>
    </row>
    <row r="55" spans="10:17" ht="14.25" customHeight="1" hidden="1">
      <c r="J55" s="13" t="s">
        <v>73</v>
      </c>
      <c r="K55" s="46">
        <f>IF(ISERROR((((N55-M55)/Q55)*($B$4-O55))+M55),0,(((N55-M55)/Q55)*($B$4-O55))+M55)</f>
        <v>384.44444444444446</v>
      </c>
      <c r="L55" s="47"/>
      <c r="M55" s="13">
        <f>VLOOKUP($B$4,VLMEN_Hoek_Belasting,2,1)</f>
        <v>360</v>
      </c>
      <c r="N55" s="13">
        <f>VLOOKUP(($B$4+18),VLMEN_Hoek_Belasting,2,1)</f>
        <v>400</v>
      </c>
      <c r="O55" s="13">
        <f>VLOOKUP($B$4,VLMEN_Hoek_Belasting,1,1)</f>
        <v>72</v>
      </c>
      <c r="P55" s="13">
        <f>VLOOKUP(($B$4+18),VLMEN_Hoek_Belasting,1,1)</f>
        <v>90</v>
      </c>
      <c r="Q55" s="121">
        <f>IF((P55-O55)&gt;0,P55-O55,1)</f>
        <v>18</v>
      </c>
    </row>
    <row r="56" spans="10:17" ht="14.25" customHeight="1" hidden="1">
      <c r="J56" s="13" t="s">
        <v>74</v>
      </c>
      <c r="K56" s="46">
        <f>IF(ISERROR((((N56-M56)/Q56)*($B$4-O56))+M56),0,(((N56-M56)/Q56)*($B$4-O56))+M56)</f>
        <v>572.3888888888889</v>
      </c>
      <c r="L56" s="47"/>
      <c r="M56" s="13">
        <f>VLOOKUP($B$4,VLMFN_Hoek_Belasting,2,1)</f>
        <v>529</v>
      </c>
      <c r="N56" s="13">
        <f>VLOOKUP(($B$4+18),VLMFN_Hoek_Belasting,2,1)</f>
        <v>600</v>
      </c>
      <c r="O56" s="13">
        <f>VLOOKUP($B$4,VLMFN_Hoek_Belasting,1,1)</f>
        <v>72</v>
      </c>
      <c r="P56" s="13">
        <f>VLOOKUP(($B$4+18),VLMFN_Hoek_Belasting,1,1)</f>
        <v>90</v>
      </c>
      <c r="Q56" s="121">
        <f>IF((P56-O56)&gt;0,P56-O56,1)</f>
        <v>18</v>
      </c>
    </row>
  </sheetData>
  <sheetProtection password="C93A" sheet="1" objects="1" scenarios="1" selectLockedCells="1"/>
  <mergeCells count="4">
    <mergeCell ref="I4:L4"/>
    <mergeCell ref="M40:N40"/>
    <mergeCell ref="M26:P26"/>
    <mergeCell ref="A10:C10"/>
  </mergeCells>
  <conditionalFormatting sqref="O40:P40">
    <cfRule type="cellIs" priority="1" dxfId="4" operator="notEqual" stopIfTrue="1">
      <formula>""</formula>
    </cfRule>
  </conditionalFormatting>
  <conditionalFormatting sqref="B4">
    <cfRule type="expression" priority="2" dxfId="2" stopIfTrue="1">
      <formula>Gecorrigeerd!I4&lt;&gt;""</formula>
    </cfRule>
  </conditionalFormatting>
  <conditionalFormatting sqref="K26">
    <cfRule type="expression" priority="3" dxfId="2" stopIfTrue="1">
      <formula>Gecorrigeerd!M26&lt;&gt;""</formula>
    </cfRule>
  </conditionalFormatting>
  <conditionalFormatting sqref="M40:N40 M26:P26 I4:L4">
    <cfRule type="cellIs" priority="4" dxfId="5" operator="notEqual" stopIfTrue="1">
      <formula>""</formula>
    </cfRule>
  </conditionalFormatting>
  <conditionalFormatting sqref="M49">
    <cfRule type="cellIs" priority="5" dxfId="5" operator="notEqual" stopIfTrue="1">
      <formula>""</formula>
    </cfRule>
  </conditionalFormatting>
  <dataValidations count="2">
    <dataValidation type="list" allowBlank="1" showInputMessage="1" showErrorMessage="1" sqref="B8">
      <formula1>Matrijs</formula1>
    </dataValidation>
    <dataValidation type="list" allowBlank="1" showInputMessage="1" showErrorMessage="1" sqref="J1">
      <formula1>Language_Sprache_Taal</formula1>
    </dataValidation>
  </dataValidation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G6"/>
  <sheetViews>
    <sheetView workbookViewId="0" topLeftCell="A1">
      <selection activeCell="G5" sqref="G5"/>
    </sheetView>
  </sheetViews>
  <sheetFormatPr defaultColWidth="8.8515625" defaultRowHeight="12.75"/>
  <cols>
    <col min="1" max="1" width="12.421875" style="2" customWidth="1"/>
    <col min="2" max="2" width="10.00390625" style="2" customWidth="1"/>
    <col min="3" max="4" width="8.8515625" style="0" customWidth="1"/>
    <col min="5" max="5" width="10.7109375" style="0" bestFit="1" customWidth="1"/>
    <col min="6" max="6" width="11.421875" style="0" bestFit="1" customWidth="1"/>
    <col min="7" max="7" width="20.140625" style="0" bestFit="1" customWidth="1"/>
  </cols>
  <sheetData>
    <row r="1" spans="1:7" ht="12">
      <c r="A1" s="4" t="s">
        <v>63</v>
      </c>
      <c r="B1" s="4" t="s">
        <v>64</v>
      </c>
      <c r="C1" s="4" t="s">
        <v>80</v>
      </c>
      <c r="D1" s="4" t="s">
        <v>81</v>
      </c>
      <c r="E1" s="4" t="s">
        <v>82</v>
      </c>
      <c r="F1" s="4" t="s">
        <v>86</v>
      </c>
      <c r="G1" s="4" t="s">
        <v>87</v>
      </c>
    </row>
    <row r="2" spans="1:7" ht="12">
      <c r="A2" s="2" t="s">
        <v>60</v>
      </c>
      <c r="B2" s="2">
        <v>8</v>
      </c>
      <c r="C2" s="2">
        <v>25</v>
      </c>
      <c r="D2" s="2">
        <v>125</v>
      </c>
      <c r="E2" s="2">
        <v>36</v>
      </c>
      <c r="F2" s="2">
        <v>90</v>
      </c>
      <c r="G2" s="2">
        <v>15</v>
      </c>
    </row>
    <row r="3" spans="1:7" ht="12">
      <c r="A3" s="2" t="s">
        <v>61</v>
      </c>
      <c r="B3" s="2">
        <v>12.5</v>
      </c>
      <c r="C3" s="2">
        <v>65</v>
      </c>
      <c r="D3" s="2">
        <v>185</v>
      </c>
      <c r="E3" s="2">
        <v>54</v>
      </c>
      <c r="F3" s="2">
        <v>90</v>
      </c>
      <c r="G3" s="2">
        <v>15</v>
      </c>
    </row>
    <row r="4" spans="1:7" ht="12">
      <c r="A4" s="2" t="s">
        <v>59</v>
      </c>
      <c r="B4" s="2">
        <v>20</v>
      </c>
      <c r="C4" s="2">
        <v>120</v>
      </c>
      <c r="D4" s="2">
        <v>300</v>
      </c>
      <c r="E4" s="2">
        <v>54</v>
      </c>
      <c r="F4" s="2">
        <v>130</v>
      </c>
      <c r="G4" s="2">
        <v>15</v>
      </c>
    </row>
    <row r="5" spans="1:7" ht="12">
      <c r="A5" s="2" t="s">
        <v>58</v>
      </c>
      <c r="B5" s="2">
        <v>25</v>
      </c>
      <c r="C5" s="2">
        <v>150</v>
      </c>
      <c r="D5" s="2">
        <v>400</v>
      </c>
      <c r="E5" s="2">
        <v>54</v>
      </c>
      <c r="F5" s="2">
        <v>190</v>
      </c>
      <c r="G5" s="2">
        <v>15</v>
      </c>
    </row>
    <row r="6" spans="1:2" ht="12">
      <c r="A6"/>
      <c r="B6"/>
    </row>
  </sheetData>
  <sheetProtection password="C93A" sheet="1" objects="1" scenarios="1" selectLockedCells="1"/>
  <printOptions/>
  <pageMargins left="0.75" right="0.75" top="1" bottom="1" header="0.5" footer="0.5"/>
  <pageSetup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D58"/>
  <sheetViews>
    <sheetView workbookViewId="0" topLeftCell="A31">
      <selection activeCell="C22" sqref="C22"/>
    </sheetView>
  </sheetViews>
  <sheetFormatPr defaultColWidth="8.8515625" defaultRowHeight="12.75"/>
  <cols>
    <col min="1" max="1" width="17.140625" style="0" customWidth="1"/>
    <col min="2" max="3" width="17.140625" style="2" customWidth="1"/>
    <col min="4" max="4" width="17.140625" style="0" customWidth="1"/>
  </cols>
  <sheetData>
    <row r="1" ht="12">
      <c r="A1" s="68" t="s">
        <v>22</v>
      </c>
    </row>
    <row r="2" spans="1:3" ht="12">
      <c r="A2" s="68"/>
      <c r="B2" s="4" t="s">
        <v>19</v>
      </c>
      <c r="C2" s="4" t="s">
        <v>20</v>
      </c>
    </row>
    <row r="3" spans="1:4" ht="12">
      <c r="A3" s="68" t="s">
        <v>16</v>
      </c>
      <c r="B3" s="2">
        <v>5</v>
      </c>
      <c r="C3" s="2">
        <v>7</v>
      </c>
      <c r="D3" s="2">
        <v>3.5</v>
      </c>
    </row>
    <row r="4" spans="1:4" ht="12">
      <c r="A4" s="68" t="s">
        <v>17</v>
      </c>
      <c r="B4" s="2">
        <v>35</v>
      </c>
      <c r="C4" s="2">
        <v>12</v>
      </c>
      <c r="D4" s="2">
        <v>7</v>
      </c>
    </row>
    <row r="5" ht="12">
      <c r="A5" s="68"/>
    </row>
    <row r="6" spans="1:4" ht="12">
      <c r="A6" s="68"/>
      <c r="B6" s="2" t="s">
        <v>21</v>
      </c>
      <c r="C6" s="2" t="s">
        <v>31</v>
      </c>
      <c r="D6" s="2" t="s">
        <v>30</v>
      </c>
    </row>
    <row r="7" spans="1:4" ht="12">
      <c r="A7" s="68" t="s">
        <v>18</v>
      </c>
      <c r="B7" s="2">
        <f>'Blad1 (oud)'!B5</f>
        <v>15</v>
      </c>
      <c r="C7" s="3">
        <f>C3+(B7-$B$3)/($B$4-$B$3)*(C4-C3)</f>
        <v>8.666666666666666</v>
      </c>
      <c r="D7" s="3">
        <f>D3+(C7-$B$3)/($B$4-$B$3)*(D4-D3)</f>
        <v>3.9277777777777776</v>
      </c>
    </row>
    <row r="14" ht="12">
      <c r="A14" t="s">
        <v>23</v>
      </c>
    </row>
    <row r="15" spans="1:2" ht="12">
      <c r="A15" t="s">
        <v>24</v>
      </c>
      <c r="B15" s="2">
        <v>1.6</v>
      </c>
    </row>
    <row r="16" spans="1:2" ht="12">
      <c r="A16" t="s">
        <v>35</v>
      </c>
      <c r="B16" s="2">
        <v>9.81</v>
      </c>
    </row>
    <row r="20" ht="12.75" thickBot="1"/>
    <row r="21" spans="1:4" ht="26.25" customHeight="1" thickBot="1">
      <c r="A21" s="69" t="s">
        <v>88</v>
      </c>
      <c r="B21" s="82" t="s">
        <v>92</v>
      </c>
      <c r="C21" s="82" t="s">
        <v>93</v>
      </c>
      <c r="D21" s="2"/>
    </row>
    <row r="22" spans="1:4" ht="12">
      <c r="A22" s="70">
        <v>1</v>
      </c>
      <c r="B22" s="74">
        <v>5</v>
      </c>
      <c r="C22" s="74">
        <v>6</v>
      </c>
      <c r="D22" s="77" t="s">
        <v>89</v>
      </c>
    </row>
    <row r="23" spans="1:4" ht="12">
      <c r="A23" s="71">
        <v>5</v>
      </c>
      <c r="B23" s="75">
        <v>5</v>
      </c>
      <c r="C23" s="75">
        <v>6</v>
      </c>
      <c r="D23" s="78" t="s">
        <v>90</v>
      </c>
    </row>
    <row r="24" spans="1:4" ht="12">
      <c r="A24" s="71">
        <v>6</v>
      </c>
      <c r="B24" s="79">
        <f>(B$28-B$23)/($A$28-$A$23)*($A24-$A$23)+B$23</f>
        <v>5.4</v>
      </c>
      <c r="C24" s="79">
        <f>(C$28-C$23)/($A$28-$A$23)*($A24-$A$23)+C$23</f>
        <v>6.4</v>
      </c>
      <c r="D24" s="2"/>
    </row>
    <row r="25" spans="1:4" ht="12">
      <c r="A25" s="71">
        <v>7</v>
      </c>
      <c r="B25" s="79">
        <f aca="true" t="shared" si="0" ref="B25:C27">(B$28-B$23)/($A$28-$A$23)*($A25-$A$23)+B$23</f>
        <v>5.8</v>
      </c>
      <c r="C25" s="79">
        <f t="shared" si="0"/>
        <v>6.8</v>
      </c>
      <c r="D25" s="2"/>
    </row>
    <row r="26" spans="1:4" ht="12">
      <c r="A26" s="71">
        <v>8</v>
      </c>
      <c r="B26" s="79">
        <f t="shared" si="0"/>
        <v>6.2</v>
      </c>
      <c r="C26" s="79">
        <f t="shared" si="0"/>
        <v>7.2</v>
      </c>
      <c r="D26" s="2"/>
    </row>
    <row r="27" spans="1:4" ht="12">
      <c r="A27" s="71">
        <v>9</v>
      </c>
      <c r="B27" s="79">
        <f t="shared" si="0"/>
        <v>6.6</v>
      </c>
      <c r="C27" s="79">
        <f t="shared" si="0"/>
        <v>7.6</v>
      </c>
      <c r="D27" s="2"/>
    </row>
    <row r="28" spans="1:4" ht="12">
      <c r="A28" s="71">
        <v>10</v>
      </c>
      <c r="B28" s="75">
        <v>7</v>
      </c>
      <c r="C28" s="75">
        <v>8</v>
      </c>
      <c r="D28" s="2"/>
    </row>
    <row r="29" spans="1:4" ht="12">
      <c r="A29" s="71">
        <v>11</v>
      </c>
      <c r="B29" s="79">
        <f>(B$38-B$28)/($A$38-$A$28)*($A29-$A$28)+B$28</f>
        <v>7.2</v>
      </c>
      <c r="C29" s="79">
        <f>(C$38-C$28)/($A$38-$A$28)*($A29-$A$28)+C$28</f>
        <v>8.2</v>
      </c>
      <c r="D29" s="2"/>
    </row>
    <row r="30" spans="1:4" ht="12">
      <c r="A30" s="71">
        <v>12</v>
      </c>
      <c r="B30" s="79">
        <f aca="true" t="shared" si="1" ref="B30:C37">(B$38-B$28)/($A$38-$A$28)*($A30-$A$28)+B$28</f>
        <v>7.4</v>
      </c>
      <c r="C30" s="79">
        <f t="shared" si="1"/>
        <v>8.4</v>
      </c>
      <c r="D30" s="2"/>
    </row>
    <row r="31" spans="1:4" ht="12">
      <c r="A31" s="71">
        <v>13</v>
      </c>
      <c r="B31" s="79">
        <f t="shared" si="1"/>
        <v>7.6</v>
      </c>
      <c r="C31" s="79">
        <f t="shared" si="1"/>
        <v>8.6</v>
      </c>
      <c r="D31" s="2"/>
    </row>
    <row r="32" spans="1:4" ht="12">
      <c r="A32" s="71">
        <v>14</v>
      </c>
      <c r="B32" s="79">
        <f t="shared" si="1"/>
        <v>7.8</v>
      </c>
      <c r="C32" s="79">
        <f t="shared" si="1"/>
        <v>8.8</v>
      </c>
      <c r="D32" s="2"/>
    </row>
    <row r="33" spans="1:4" ht="12">
      <c r="A33" s="71">
        <v>15</v>
      </c>
      <c r="B33" s="79">
        <f t="shared" si="1"/>
        <v>8</v>
      </c>
      <c r="C33" s="79">
        <f t="shared" si="1"/>
        <v>9</v>
      </c>
      <c r="D33" s="2"/>
    </row>
    <row r="34" spans="1:4" ht="12">
      <c r="A34" s="71">
        <v>16</v>
      </c>
      <c r="B34" s="79">
        <f t="shared" si="1"/>
        <v>8.2</v>
      </c>
      <c r="C34" s="79">
        <f t="shared" si="1"/>
        <v>9.2</v>
      </c>
      <c r="D34" s="2"/>
    </row>
    <row r="35" spans="1:4" ht="12">
      <c r="A35" s="71">
        <v>17</v>
      </c>
      <c r="B35" s="79">
        <f t="shared" si="1"/>
        <v>8.4</v>
      </c>
      <c r="C35" s="79">
        <f t="shared" si="1"/>
        <v>9.4</v>
      </c>
      <c r="D35" s="2"/>
    </row>
    <row r="36" spans="1:4" ht="12">
      <c r="A36" s="71">
        <v>18</v>
      </c>
      <c r="B36" s="79">
        <f t="shared" si="1"/>
        <v>8.6</v>
      </c>
      <c r="C36" s="79">
        <f t="shared" si="1"/>
        <v>9.6</v>
      </c>
      <c r="D36" s="2"/>
    </row>
    <row r="37" spans="1:4" ht="12">
      <c r="A37" s="71">
        <v>19</v>
      </c>
      <c r="B37" s="79">
        <f t="shared" si="1"/>
        <v>8.8</v>
      </c>
      <c r="C37" s="79">
        <f t="shared" si="1"/>
        <v>9.8</v>
      </c>
      <c r="D37" s="2"/>
    </row>
    <row r="38" spans="1:4" ht="12">
      <c r="A38" s="71">
        <v>20</v>
      </c>
      <c r="B38" s="75">
        <v>9</v>
      </c>
      <c r="C38" s="75">
        <v>10</v>
      </c>
      <c r="D38" s="2"/>
    </row>
    <row r="39" spans="1:4" ht="12">
      <c r="A39" s="73">
        <v>21</v>
      </c>
      <c r="B39" s="80">
        <f>(B$58-B$38)/($A$58-$A$38)*($A39-$A$38)+B$38</f>
        <v>9.1</v>
      </c>
      <c r="C39" s="80">
        <f>(C$58-C$38)/($A$58-$A$38)*($A39-$A$38)+C$38</f>
        <v>10.1</v>
      </c>
      <c r="D39" s="2"/>
    </row>
    <row r="40" spans="1:4" ht="12">
      <c r="A40" s="71">
        <v>22</v>
      </c>
      <c r="B40" s="80">
        <f aca="true" t="shared" si="2" ref="B40:C57">(B$58-B$38)/($A$58-$A$38)*($A40-$A$38)+B$38</f>
        <v>9.2</v>
      </c>
      <c r="C40" s="80">
        <f t="shared" si="2"/>
        <v>10.2</v>
      </c>
      <c r="D40" s="2"/>
    </row>
    <row r="41" spans="1:4" ht="12">
      <c r="A41" s="73">
        <v>23</v>
      </c>
      <c r="B41" s="80">
        <f t="shared" si="2"/>
        <v>9.3</v>
      </c>
      <c r="C41" s="80">
        <f t="shared" si="2"/>
        <v>10.3</v>
      </c>
      <c r="D41" s="2"/>
    </row>
    <row r="42" spans="1:4" ht="12">
      <c r="A42" s="71">
        <v>24</v>
      </c>
      <c r="B42" s="80">
        <f t="shared" si="2"/>
        <v>9.4</v>
      </c>
      <c r="C42" s="80">
        <f t="shared" si="2"/>
        <v>10.4</v>
      </c>
      <c r="D42" s="2"/>
    </row>
    <row r="43" spans="1:4" ht="12">
      <c r="A43" s="73">
        <v>25</v>
      </c>
      <c r="B43" s="80">
        <f t="shared" si="2"/>
        <v>9.5</v>
      </c>
      <c r="C43" s="80">
        <f t="shared" si="2"/>
        <v>10.5</v>
      </c>
      <c r="D43" s="2"/>
    </row>
    <row r="44" spans="1:4" ht="12">
      <c r="A44" s="71">
        <v>26</v>
      </c>
      <c r="B44" s="80">
        <f t="shared" si="2"/>
        <v>9.6</v>
      </c>
      <c r="C44" s="80">
        <f t="shared" si="2"/>
        <v>10.6</v>
      </c>
      <c r="D44" s="2"/>
    </row>
    <row r="45" spans="1:4" ht="12">
      <c r="A45" s="73">
        <v>27</v>
      </c>
      <c r="B45" s="80">
        <f t="shared" si="2"/>
        <v>9.7</v>
      </c>
      <c r="C45" s="80">
        <f t="shared" si="2"/>
        <v>10.7</v>
      </c>
      <c r="D45" s="2"/>
    </row>
    <row r="46" spans="1:4" ht="12">
      <c r="A46" s="71">
        <v>28</v>
      </c>
      <c r="B46" s="80">
        <f t="shared" si="2"/>
        <v>9.8</v>
      </c>
      <c r="C46" s="80">
        <f t="shared" si="2"/>
        <v>10.8</v>
      </c>
      <c r="D46" s="2"/>
    </row>
    <row r="47" spans="1:4" ht="12">
      <c r="A47" s="73">
        <v>29</v>
      </c>
      <c r="B47" s="80">
        <f t="shared" si="2"/>
        <v>9.9</v>
      </c>
      <c r="C47" s="80">
        <f t="shared" si="2"/>
        <v>10.9</v>
      </c>
      <c r="D47" s="2"/>
    </row>
    <row r="48" spans="1:4" ht="12">
      <c r="A48" s="71">
        <v>30</v>
      </c>
      <c r="B48" s="80">
        <f t="shared" si="2"/>
        <v>10</v>
      </c>
      <c r="C48" s="80">
        <f t="shared" si="2"/>
        <v>11</v>
      </c>
      <c r="D48" s="2"/>
    </row>
    <row r="49" spans="1:4" ht="12">
      <c r="A49" s="73">
        <v>31</v>
      </c>
      <c r="B49" s="80">
        <f t="shared" si="2"/>
        <v>10.1</v>
      </c>
      <c r="C49" s="80">
        <f t="shared" si="2"/>
        <v>11.1</v>
      </c>
      <c r="D49" s="2"/>
    </row>
    <row r="50" spans="1:4" ht="12">
      <c r="A50" s="71">
        <v>32</v>
      </c>
      <c r="B50" s="80">
        <f t="shared" si="2"/>
        <v>10.2</v>
      </c>
      <c r="C50" s="80">
        <f t="shared" si="2"/>
        <v>11.2</v>
      </c>
      <c r="D50" s="2"/>
    </row>
    <row r="51" spans="1:4" ht="12">
      <c r="A51" s="73">
        <v>33</v>
      </c>
      <c r="B51" s="80">
        <f t="shared" si="2"/>
        <v>10.3</v>
      </c>
      <c r="C51" s="80">
        <f t="shared" si="2"/>
        <v>11.3</v>
      </c>
      <c r="D51" s="2"/>
    </row>
    <row r="52" spans="1:4" ht="12">
      <c r="A52" s="71">
        <v>34</v>
      </c>
      <c r="B52" s="80">
        <f t="shared" si="2"/>
        <v>10.4</v>
      </c>
      <c r="C52" s="80">
        <f t="shared" si="2"/>
        <v>11.4</v>
      </c>
      <c r="D52" s="2"/>
    </row>
    <row r="53" spans="1:4" ht="12">
      <c r="A53" s="73">
        <v>35</v>
      </c>
      <c r="B53" s="80">
        <f t="shared" si="2"/>
        <v>10.5</v>
      </c>
      <c r="C53" s="80">
        <f t="shared" si="2"/>
        <v>11.5</v>
      </c>
      <c r="D53" s="2"/>
    </row>
    <row r="54" spans="1:4" ht="12">
      <c r="A54" s="71">
        <v>36</v>
      </c>
      <c r="B54" s="80">
        <f t="shared" si="2"/>
        <v>10.6</v>
      </c>
      <c r="C54" s="80">
        <f t="shared" si="2"/>
        <v>11.6</v>
      </c>
      <c r="D54" s="2"/>
    </row>
    <row r="55" spans="1:4" ht="12">
      <c r="A55" s="73">
        <v>37</v>
      </c>
      <c r="B55" s="80">
        <f t="shared" si="2"/>
        <v>10.7</v>
      </c>
      <c r="C55" s="80">
        <f t="shared" si="2"/>
        <v>11.7</v>
      </c>
      <c r="D55" s="2"/>
    </row>
    <row r="56" spans="1:4" ht="12">
      <c r="A56" s="71">
        <v>38</v>
      </c>
      <c r="B56" s="80">
        <f t="shared" si="2"/>
        <v>10.8</v>
      </c>
      <c r="C56" s="80">
        <f t="shared" si="2"/>
        <v>11.8</v>
      </c>
      <c r="D56" s="2"/>
    </row>
    <row r="57" spans="1:4" ht="12">
      <c r="A57" s="73">
        <v>39</v>
      </c>
      <c r="B57" s="80">
        <f t="shared" si="2"/>
        <v>10.9</v>
      </c>
      <c r="C57" s="80">
        <f t="shared" si="2"/>
        <v>11.9</v>
      </c>
      <c r="D57" s="2"/>
    </row>
    <row r="58" spans="1:4" ht="12.75" thickBot="1">
      <c r="A58" s="72">
        <v>40</v>
      </c>
      <c r="B58" s="76">
        <v>11</v>
      </c>
      <c r="C58" s="76">
        <v>12</v>
      </c>
      <c r="D58" s="2"/>
    </row>
  </sheetData>
  <sheetProtection password="C93A" sheet="1" objects="1" scenario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H30"/>
  <sheetViews>
    <sheetView workbookViewId="0" topLeftCell="A1">
      <selection activeCell="C2" sqref="C2"/>
    </sheetView>
  </sheetViews>
  <sheetFormatPr defaultColWidth="8.8515625" defaultRowHeight="12.75"/>
  <cols>
    <col min="1" max="2" width="10.00390625" style="2" customWidth="1"/>
    <col min="3" max="3" width="11.421875" style="2" customWidth="1"/>
    <col min="4" max="4" width="15.7109375" style="2" customWidth="1"/>
    <col min="5" max="5" width="11.421875" style="2" customWidth="1"/>
  </cols>
  <sheetData>
    <row r="1" spans="1:5" ht="24">
      <c r="A1" s="5" t="s">
        <v>65</v>
      </c>
      <c r="B1" s="5" t="s">
        <v>69</v>
      </c>
      <c r="C1" s="5" t="s">
        <v>66</v>
      </c>
      <c r="D1" s="5" t="s">
        <v>67</v>
      </c>
      <c r="E1" s="5" t="s">
        <v>68</v>
      </c>
    </row>
    <row r="2" spans="1:5" ht="12">
      <c r="A2" s="1" t="s">
        <v>60</v>
      </c>
      <c r="B2" s="1">
        <v>8</v>
      </c>
      <c r="C2" s="1">
        <v>36</v>
      </c>
      <c r="D2" s="1">
        <v>80</v>
      </c>
      <c r="E2" s="1">
        <v>-15</v>
      </c>
    </row>
    <row r="3" spans="1:5" ht="12">
      <c r="A3" s="1" t="s">
        <v>60</v>
      </c>
      <c r="B3" s="1">
        <v>8</v>
      </c>
      <c r="C3" s="1">
        <v>54</v>
      </c>
      <c r="D3" s="1">
        <v>95</v>
      </c>
      <c r="E3" s="1">
        <v>-14</v>
      </c>
    </row>
    <row r="4" spans="1:5" ht="12">
      <c r="A4" s="1" t="s">
        <v>60</v>
      </c>
      <c r="B4" s="1">
        <v>8</v>
      </c>
      <c r="C4" s="1">
        <v>72</v>
      </c>
      <c r="D4" s="1">
        <v>112</v>
      </c>
      <c r="E4" s="1">
        <v>-13</v>
      </c>
    </row>
    <row r="5" spans="1:5" ht="12">
      <c r="A5" s="1" t="s">
        <v>60</v>
      </c>
      <c r="B5" s="1">
        <v>8</v>
      </c>
      <c r="C5" s="1">
        <v>90</v>
      </c>
      <c r="D5" s="1">
        <v>125</v>
      </c>
      <c r="E5" s="1">
        <v>-11</v>
      </c>
    </row>
    <row r="6" spans="1:5" ht="12">
      <c r="A6" s="1" t="s">
        <v>60</v>
      </c>
      <c r="B6" s="1">
        <v>8</v>
      </c>
      <c r="C6" s="1">
        <v>108</v>
      </c>
      <c r="D6" s="1">
        <v>145</v>
      </c>
      <c r="E6" s="1">
        <v>-9</v>
      </c>
    </row>
    <row r="7" spans="1:5" ht="12">
      <c r="A7" s="1" t="s">
        <v>60</v>
      </c>
      <c r="B7" s="1">
        <v>8</v>
      </c>
      <c r="C7" s="1">
        <v>126</v>
      </c>
      <c r="D7" s="1">
        <v>165</v>
      </c>
      <c r="E7" s="1">
        <v>-7</v>
      </c>
    </row>
    <row r="8" spans="1:5" ht="12">
      <c r="A8" s="1" t="s">
        <v>60</v>
      </c>
      <c r="B8" s="1">
        <v>8</v>
      </c>
      <c r="C8" s="1">
        <v>144</v>
      </c>
      <c r="D8" s="1">
        <v>185</v>
      </c>
      <c r="E8" s="1">
        <v>-5</v>
      </c>
    </row>
    <row r="9" spans="1:5" ht="12">
      <c r="A9" s="1" t="s">
        <v>60</v>
      </c>
      <c r="B9" s="1">
        <v>8</v>
      </c>
      <c r="C9" s="1">
        <v>162</v>
      </c>
      <c r="D9" s="1">
        <v>205</v>
      </c>
      <c r="E9" s="1">
        <v>-3</v>
      </c>
    </row>
    <row r="10" spans="1:5" ht="12">
      <c r="A10" s="2" t="s">
        <v>61</v>
      </c>
      <c r="B10" s="2">
        <v>12.5</v>
      </c>
      <c r="C10" s="2">
        <v>54</v>
      </c>
      <c r="D10" s="2">
        <v>170</v>
      </c>
      <c r="E10" s="2">
        <v>-22</v>
      </c>
    </row>
    <row r="11" spans="1:5" ht="12">
      <c r="A11" s="2" t="s">
        <v>61</v>
      </c>
      <c r="B11" s="2">
        <v>12.5</v>
      </c>
      <c r="C11" s="2">
        <v>72</v>
      </c>
      <c r="D11" s="2">
        <v>185</v>
      </c>
      <c r="E11" s="2">
        <v>-20</v>
      </c>
    </row>
    <row r="12" spans="1:5" ht="12">
      <c r="A12" s="2" t="s">
        <v>61</v>
      </c>
      <c r="B12" s="2">
        <v>12.5</v>
      </c>
      <c r="C12" s="2">
        <v>90</v>
      </c>
      <c r="D12" s="2">
        <v>200</v>
      </c>
      <c r="E12" s="2">
        <v>-18</v>
      </c>
    </row>
    <row r="13" spans="1:5" ht="12">
      <c r="A13" s="2" t="s">
        <v>61</v>
      </c>
      <c r="B13" s="2">
        <v>12.5</v>
      </c>
      <c r="C13" s="2">
        <v>108</v>
      </c>
      <c r="D13" s="2">
        <v>225</v>
      </c>
      <c r="E13" s="2">
        <v>-15</v>
      </c>
    </row>
    <row r="14" spans="1:5" ht="12">
      <c r="A14" s="2" t="s">
        <v>61</v>
      </c>
      <c r="B14" s="2">
        <v>12.5</v>
      </c>
      <c r="C14" s="2">
        <v>126</v>
      </c>
      <c r="D14" s="2">
        <v>250</v>
      </c>
      <c r="E14" s="2">
        <v>-11</v>
      </c>
    </row>
    <row r="15" spans="1:5" ht="12">
      <c r="A15" s="2" t="s">
        <v>61</v>
      </c>
      <c r="B15" s="2">
        <v>12.5</v>
      </c>
      <c r="C15" s="2">
        <v>144</v>
      </c>
      <c r="D15" s="2">
        <v>275</v>
      </c>
      <c r="E15" s="2">
        <v>-8</v>
      </c>
    </row>
    <row r="16" spans="1:5" ht="12">
      <c r="A16" s="2" t="s">
        <v>61</v>
      </c>
      <c r="B16" s="2">
        <v>12.5</v>
      </c>
      <c r="C16" s="2">
        <v>162</v>
      </c>
      <c r="D16" s="2">
        <v>300</v>
      </c>
      <c r="E16" s="2">
        <v>-4</v>
      </c>
    </row>
    <row r="17" spans="1:5" ht="12">
      <c r="A17" s="6" t="s">
        <v>59</v>
      </c>
      <c r="B17" s="6">
        <v>20</v>
      </c>
      <c r="C17" s="6">
        <v>54</v>
      </c>
      <c r="D17" s="6">
        <v>320</v>
      </c>
      <c r="E17" s="6">
        <v>-36</v>
      </c>
    </row>
    <row r="18" spans="1:5" ht="12">
      <c r="A18" s="6" t="s">
        <v>59</v>
      </c>
      <c r="B18" s="6">
        <v>20</v>
      </c>
      <c r="C18" s="6">
        <v>72</v>
      </c>
      <c r="D18" s="6">
        <v>360</v>
      </c>
      <c r="E18" s="6">
        <v>-32</v>
      </c>
    </row>
    <row r="19" spans="1:5" ht="12">
      <c r="A19" s="6" t="s">
        <v>59</v>
      </c>
      <c r="B19" s="6">
        <v>20</v>
      </c>
      <c r="C19" s="6">
        <v>90</v>
      </c>
      <c r="D19" s="6">
        <v>400</v>
      </c>
      <c r="E19" s="6">
        <v>-28</v>
      </c>
    </row>
    <row r="20" spans="1:8" ht="12">
      <c r="A20" s="6" t="s">
        <v>59</v>
      </c>
      <c r="B20" s="6">
        <v>20</v>
      </c>
      <c r="C20" s="6">
        <v>108</v>
      </c>
      <c r="D20" s="6">
        <v>425</v>
      </c>
      <c r="E20" s="6">
        <v>-22</v>
      </c>
      <c r="H20" s="7"/>
    </row>
    <row r="21" spans="1:5" ht="12">
      <c r="A21" s="6" t="s">
        <v>59</v>
      </c>
      <c r="B21" s="6">
        <v>20</v>
      </c>
      <c r="C21" s="6">
        <v>126</v>
      </c>
      <c r="D21" s="6">
        <v>450</v>
      </c>
      <c r="E21" s="6">
        <v>-18</v>
      </c>
    </row>
    <row r="22" spans="1:5" ht="12">
      <c r="A22" s="6" t="s">
        <v>59</v>
      </c>
      <c r="B22" s="6">
        <v>20</v>
      </c>
      <c r="C22" s="6">
        <v>144</v>
      </c>
      <c r="D22" s="6">
        <v>475</v>
      </c>
      <c r="E22" s="6">
        <v>-12</v>
      </c>
    </row>
    <row r="23" spans="1:5" ht="12">
      <c r="A23" s="6" t="s">
        <v>59</v>
      </c>
      <c r="B23" s="6">
        <v>20</v>
      </c>
      <c r="C23" s="6">
        <v>162</v>
      </c>
      <c r="D23" s="6">
        <v>500</v>
      </c>
      <c r="E23" s="6">
        <v>-6</v>
      </c>
    </row>
    <row r="24" spans="1:5" ht="12">
      <c r="A24" s="8" t="s">
        <v>58</v>
      </c>
      <c r="B24" s="8">
        <v>25</v>
      </c>
      <c r="C24" s="8">
        <v>54</v>
      </c>
      <c r="D24" s="8">
        <v>400</v>
      </c>
      <c r="E24" s="8">
        <v>-44</v>
      </c>
    </row>
    <row r="25" spans="1:5" ht="12">
      <c r="A25" s="8" t="s">
        <v>58</v>
      </c>
      <c r="B25" s="8">
        <v>25</v>
      </c>
      <c r="C25" s="8">
        <v>72</v>
      </c>
      <c r="D25" s="8">
        <v>529</v>
      </c>
      <c r="E25" s="8">
        <v>-40</v>
      </c>
    </row>
    <row r="26" spans="1:5" ht="12">
      <c r="A26" s="8" t="s">
        <v>58</v>
      </c>
      <c r="B26" s="8">
        <v>25</v>
      </c>
      <c r="C26" s="8">
        <v>90</v>
      </c>
      <c r="D26" s="8">
        <v>600</v>
      </c>
      <c r="E26" s="8">
        <v>-34</v>
      </c>
    </row>
    <row r="27" spans="1:5" ht="12">
      <c r="A27" s="8" t="s">
        <v>58</v>
      </c>
      <c r="B27" s="8">
        <v>25</v>
      </c>
      <c r="C27" s="8">
        <v>108</v>
      </c>
      <c r="D27" s="8">
        <v>625</v>
      </c>
      <c r="E27" s="8">
        <v>-28</v>
      </c>
    </row>
    <row r="28" spans="1:5" ht="12">
      <c r="A28" s="8" t="s">
        <v>58</v>
      </c>
      <c r="B28" s="8">
        <v>25</v>
      </c>
      <c r="C28" s="8">
        <v>126</v>
      </c>
      <c r="D28" s="8">
        <v>650</v>
      </c>
      <c r="E28" s="8">
        <v>-23</v>
      </c>
    </row>
    <row r="29" spans="1:5" ht="12">
      <c r="A29" s="8" t="s">
        <v>58</v>
      </c>
      <c r="B29" s="8">
        <v>25</v>
      </c>
      <c r="C29" s="8">
        <v>144</v>
      </c>
      <c r="D29" s="8">
        <v>675</v>
      </c>
      <c r="E29" s="8">
        <v>-15</v>
      </c>
    </row>
    <row r="30" spans="1:5" ht="12">
      <c r="A30" s="8" t="s">
        <v>58</v>
      </c>
      <c r="B30" s="8">
        <v>25</v>
      </c>
      <c r="C30" s="8">
        <v>162</v>
      </c>
      <c r="D30" s="8">
        <v>700</v>
      </c>
      <c r="E30" s="8">
        <v>-8</v>
      </c>
    </row>
  </sheetData>
  <sheetProtection password="C93A" sheet="1" objects="1" scenario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A1:E40"/>
  <sheetViews>
    <sheetView workbookViewId="0" topLeftCell="A1">
      <selection activeCell="A1" sqref="A1"/>
    </sheetView>
  </sheetViews>
  <sheetFormatPr defaultColWidth="9.140625" defaultRowHeight="16.5" customHeight="1"/>
  <cols>
    <col min="1" max="1" width="9.140625" style="136" customWidth="1"/>
    <col min="2" max="2" width="36.140625" style="12" bestFit="1" customWidth="1"/>
    <col min="3" max="3" width="29.28125" style="12" bestFit="1" customWidth="1"/>
    <col min="4" max="4" width="37.00390625" style="12" customWidth="1"/>
    <col min="5" max="5" width="39.28125" style="12" customWidth="1"/>
    <col min="6" max="16384" width="9.140625" style="12" customWidth="1"/>
  </cols>
  <sheetData>
    <row r="1" spans="1:5" ht="16.5" customHeight="1" thickBot="1">
      <c r="A1" s="126" t="s">
        <v>105</v>
      </c>
      <c r="B1" s="126" t="s">
        <v>210</v>
      </c>
      <c r="C1" s="126" t="s">
        <v>211</v>
      </c>
      <c r="D1" s="126" t="s">
        <v>106</v>
      </c>
      <c r="E1" s="127" t="s">
        <v>212</v>
      </c>
    </row>
    <row r="2" spans="1:5" ht="16.5" customHeight="1">
      <c r="A2" s="128" t="s">
        <v>107</v>
      </c>
      <c r="B2" s="129" t="s">
        <v>186</v>
      </c>
      <c r="C2" s="129" t="s">
        <v>180</v>
      </c>
      <c r="D2" s="116" t="s">
        <v>102</v>
      </c>
      <c r="E2" s="122" t="str">
        <f>IF(Gecorrigeerd!$J$1=Taal!$B$1,B2,IF(Gecorrigeerd!$J$1=Taal!$C$1,C2,D2))</f>
        <v>Bending length</v>
      </c>
    </row>
    <row r="3" spans="1:5" ht="16.5" customHeight="1">
      <c r="A3" s="130" t="s">
        <v>108</v>
      </c>
      <c r="B3" s="131" t="s">
        <v>126</v>
      </c>
      <c r="C3" s="131" t="s">
        <v>195</v>
      </c>
      <c r="D3" s="117" t="s">
        <v>126</v>
      </c>
      <c r="E3" s="123" t="str">
        <f>IF(Gecorrigeerd!$J$1=Taal!$B$1,B3,IF(Gecorrigeerd!$J$1=Taal!$C$1,C3,D3))</f>
        <v>Bend radius R</v>
      </c>
    </row>
    <row r="4" spans="1:5" ht="16.5" customHeight="1">
      <c r="A4" s="130" t="s">
        <v>109</v>
      </c>
      <c r="B4" s="131" t="s">
        <v>187</v>
      </c>
      <c r="C4" s="131" t="s">
        <v>179</v>
      </c>
      <c r="D4" s="118" t="s">
        <v>127</v>
      </c>
      <c r="E4" s="123" t="str">
        <f>IF(Gecorrigeerd!$J$1=Taal!$B$1,B4,IF(Gecorrigeerd!$J$1=Taal!$C$1,C4,D4))</f>
        <v>Bending angle α</v>
      </c>
    </row>
    <row r="5" spans="1:5" ht="16.5" customHeight="1">
      <c r="A5" s="130" t="s">
        <v>110</v>
      </c>
      <c r="B5" s="131" t="s">
        <v>189</v>
      </c>
      <c r="C5" s="132" t="s">
        <v>174</v>
      </c>
      <c r="D5" s="117" t="s">
        <v>128</v>
      </c>
      <c r="E5" s="123" t="str">
        <f>IF(Gecorrigeerd!$J$1=Taal!$B$1,B5,IF(Gecorrigeerd!$J$1=Taal!$C$1,C5,D5))</f>
        <v>Material thickness s</v>
      </c>
    </row>
    <row r="6" spans="1:5" ht="16.5" customHeight="1">
      <c r="A6" s="130" t="s">
        <v>111</v>
      </c>
      <c r="B6" s="131" t="s">
        <v>188</v>
      </c>
      <c r="C6" s="131" t="s">
        <v>184</v>
      </c>
      <c r="D6" s="117" t="s">
        <v>26</v>
      </c>
      <c r="E6" s="123" t="str">
        <f>IF(Gecorrigeerd!$J$1=Taal!$B$1,B6,IF(Gecorrigeerd!$J$1=Taal!$C$1,C6,D6))</f>
        <v>Tensile strenght</v>
      </c>
    </row>
    <row r="7" spans="1:5" ht="16.5" customHeight="1">
      <c r="A7" s="130" t="s">
        <v>112</v>
      </c>
      <c r="B7" s="131" t="s">
        <v>190</v>
      </c>
      <c r="C7" s="131" t="s">
        <v>194</v>
      </c>
      <c r="D7" s="117" t="s">
        <v>63</v>
      </c>
      <c r="E7" s="123" t="str">
        <f>IF(Gecorrigeerd!$J$1=Taal!$B$1,B7,IF(Gecorrigeerd!$J$1=Taal!$C$1,C7,D7))</f>
        <v>Die type</v>
      </c>
    </row>
    <row r="8" spans="1:5" ht="16.5" customHeight="1">
      <c r="A8" s="130" t="s">
        <v>118</v>
      </c>
      <c r="B8" s="131" t="s">
        <v>193</v>
      </c>
      <c r="C8" s="132" t="s">
        <v>175</v>
      </c>
      <c r="D8" s="117" t="s">
        <v>91</v>
      </c>
      <c r="E8" s="123" t="str">
        <f>IF(Gecorrigeerd!$J$1=Taal!$B$1,B8,IF(Gecorrigeerd!$J$1=Taal!$C$1,C8,D8))</f>
        <v>Advice (default)</v>
      </c>
    </row>
    <row r="9" spans="1:5" ht="16.5" customHeight="1">
      <c r="A9" s="130" t="s">
        <v>119</v>
      </c>
      <c r="B9" s="131" t="s">
        <v>198</v>
      </c>
      <c r="C9" s="131" t="s">
        <v>199</v>
      </c>
      <c r="D9" s="117" t="s">
        <v>129</v>
      </c>
      <c r="E9" s="123" t="str">
        <f>IF(Gecorrigeerd!$J$1=Taal!$B$1,B9,IF(Gecorrigeerd!$J$1=Taal!$C$1,C9,D9))</f>
        <v>Adviced V opening</v>
      </c>
    </row>
    <row r="10" spans="1:5" ht="16.5" customHeight="1" thickBot="1">
      <c r="A10" s="133" t="s">
        <v>120</v>
      </c>
      <c r="B10" s="134" t="s">
        <v>150</v>
      </c>
      <c r="C10" s="134" t="s">
        <v>151</v>
      </c>
      <c r="D10" s="119" t="s">
        <v>125</v>
      </c>
      <c r="E10" s="124" t="str">
        <f>IF(Gecorrigeerd!$J$1=Taal!$B$1,B10,IF(Gecorrigeerd!$J$1=Taal!$C$1,C10,D10))</f>
        <v>Bending force Fb</v>
      </c>
    </row>
    <row r="11" spans="1:5" ht="16.5" customHeight="1">
      <c r="A11" s="128" t="s">
        <v>113</v>
      </c>
      <c r="B11" s="116" t="s">
        <v>1</v>
      </c>
      <c r="C11" s="116" t="s">
        <v>1</v>
      </c>
      <c r="D11" s="116" t="s">
        <v>1</v>
      </c>
      <c r="E11" s="122" t="str">
        <f>IF(Gecorrigeerd!$J$1=Taal!$B$1,B11,IF(Gecorrigeerd!$J$1=Taal!$C$1,C11,D11))</f>
        <v>mm</v>
      </c>
    </row>
    <row r="12" spans="1:5" ht="16.5" customHeight="1">
      <c r="A12" s="130" t="s">
        <v>114</v>
      </c>
      <c r="B12" s="117" t="s">
        <v>1</v>
      </c>
      <c r="C12" s="117" t="s">
        <v>1</v>
      </c>
      <c r="D12" s="117" t="s">
        <v>1</v>
      </c>
      <c r="E12" s="123" t="str">
        <f>IF(Gecorrigeerd!$J$1=Taal!$B$1,B12,IF(Gecorrigeerd!$J$1=Taal!$C$1,C12,D12))</f>
        <v>mm</v>
      </c>
    </row>
    <row r="13" spans="1:5" ht="16.5" customHeight="1">
      <c r="A13" s="130" t="s">
        <v>115</v>
      </c>
      <c r="B13" s="131" t="s">
        <v>123</v>
      </c>
      <c r="C13" s="131" t="s">
        <v>124</v>
      </c>
      <c r="D13" s="117" t="s">
        <v>85</v>
      </c>
      <c r="E13" s="123" t="str">
        <f>IF(Gecorrigeerd!$J$1=Taal!$B$1,B13,IF(Gecorrigeerd!$J$1=Taal!$C$1,C13,D13))</f>
        <v>Degrees</v>
      </c>
    </row>
    <row r="14" spans="1:5" ht="16.5" customHeight="1">
      <c r="A14" s="130" t="s">
        <v>116</v>
      </c>
      <c r="B14" s="117" t="s">
        <v>1</v>
      </c>
      <c r="C14" s="117" t="s">
        <v>1</v>
      </c>
      <c r="D14" s="117" t="s">
        <v>1</v>
      </c>
      <c r="E14" s="123" t="str">
        <f>IF(Gecorrigeerd!$J$1=Taal!$B$1,B14,IF(Gecorrigeerd!$J$1=Taal!$C$1,C14,D14))</f>
        <v>mm</v>
      </c>
    </row>
    <row r="15" spans="1:5" ht="16.5" customHeight="1">
      <c r="A15" s="130" t="s">
        <v>117</v>
      </c>
      <c r="B15" s="117" t="s">
        <v>27</v>
      </c>
      <c r="C15" s="117" t="s">
        <v>27</v>
      </c>
      <c r="D15" s="117" t="s">
        <v>27</v>
      </c>
      <c r="E15" s="123" t="str">
        <f>IF(Gecorrigeerd!$J$1=Taal!$B$1,B15,IF(Gecorrigeerd!$J$1=Taal!$C$1,C15,D15))</f>
        <v>N/mm2</v>
      </c>
    </row>
    <row r="16" spans="1:5" ht="16.5" customHeight="1">
      <c r="A16" s="131" t="s">
        <v>121</v>
      </c>
      <c r="B16" s="117" t="s">
        <v>1</v>
      </c>
      <c r="C16" s="117" t="s">
        <v>1</v>
      </c>
      <c r="D16" s="117" t="s">
        <v>1</v>
      </c>
      <c r="E16" s="123" t="str">
        <f>IF(Gecorrigeerd!$J$1=Taal!$B$1,B16,IF(Gecorrigeerd!$J$1=Taal!$C$1,C16,D16))</f>
        <v>mm</v>
      </c>
    </row>
    <row r="17" spans="1:5" ht="16.5" customHeight="1" thickBot="1">
      <c r="A17" s="134" t="s">
        <v>122</v>
      </c>
      <c r="B17" s="119" t="s">
        <v>28</v>
      </c>
      <c r="C17" s="119" t="s">
        <v>28</v>
      </c>
      <c r="D17" s="119" t="s">
        <v>28</v>
      </c>
      <c r="E17" s="124" t="str">
        <f>IF(Gecorrigeerd!$J$1=Taal!$B$1,B17,IF(Gecorrigeerd!$J$1=Taal!$C$1,C17,D17))</f>
        <v>ton/m</v>
      </c>
    </row>
    <row r="18" spans="1:5" ht="16.5" customHeight="1">
      <c r="A18" s="129" t="s">
        <v>130</v>
      </c>
      <c r="B18" s="129" t="s">
        <v>192</v>
      </c>
      <c r="C18" s="129" t="s">
        <v>196</v>
      </c>
      <c r="D18" s="129" t="s">
        <v>57</v>
      </c>
      <c r="E18" s="122" t="str">
        <f>IF(Gecorrigeerd!$J$1=Taal!$B$1,B18,IF(Gecorrigeerd!$J$1=Taal!$C$1,C18,D18))</f>
        <v>V opening</v>
      </c>
    </row>
    <row r="19" spans="1:5" ht="16.5" customHeight="1">
      <c r="A19" s="131" t="s">
        <v>131</v>
      </c>
      <c r="B19" s="131" t="s">
        <v>200</v>
      </c>
      <c r="C19" s="131" t="s">
        <v>201</v>
      </c>
      <c r="D19" s="131" t="s">
        <v>29</v>
      </c>
      <c r="E19" s="123" t="str">
        <f>IF(Gecorrigeerd!$J$1=Taal!$B$1,B19,IF(Gecorrigeerd!$J$1=Taal!$C$1,C19,D19))</f>
        <v>Entered V opening</v>
      </c>
    </row>
    <row r="20" spans="1:5" ht="16.5" customHeight="1">
      <c r="A20" s="131" t="s">
        <v>132</v>
      </c>
      <c r="B20" s="131" t="s">
        <v>208</v>
      </c>
      <c r="C20" s="131" t="s">
        <v>202</v>
      </c>
      <c r="D20" s="131" t="s">
        <v>11</v>
      </c>
      <c r="E20" s="123" t="str">
        <f>IF(Gecorrigeerd!$J$1=Taal!$B$1,B20,IF(Gecorrigeerd!$J$1=Taal!$C$1,C20,D20))</f>
        <v>Penetration depth</v>
      </c>
    </row>
    <row r="21" spans="1:5" ht="16.5" customHeight="1">
      <c r="A21" s="131" t="s">
        <v>133</v>
      </c>
      <c r="B21" s="131" t="s">
        <v>156</v>
      </c>
      <c r="C21" s="132" t="s">
        <v>181</v>
      </c>
      <c r="D21" s="131" t="s">
        <v>152</v>
      </c>
      <c r="E21" s="123" t="str">
        <f>IF(Gecorrigeerd!$J$1=Taal!$B$1,B21,IF(Gecorrigeerd!$J$1=Taal!$C$1,C21,D21))</f>
        <v>Measure b1</v>
      </c>
    </row>
    <row r="22" spans="1:5" ht="16.5" customHeight="1">
      <c r="A22" s="131" t="s">
        <v>134</v>
      </c>
      <c r="B22" s="131" t="s">
        <v>157</v>
      </c>
      <c r="C22" s="131" t="s">
        <v>182</v>
      </c>
      <c r="D22" s="131" t="s">
        <v>153</v>
      </c>
      <c r="E22" s="123" t="str">
        <f>IF(Gecorrigeerd!$J$1=Taal!$B$1,B22,IF(Gecorrigeerd!$J$1=Taal!$C$1,C22,D22))</f>
        <v>Measure b2</v>
      </c>
    </row>
    <row r="23" spans="1:5" ht="16.5" customHeight="1">
      <c r="A23" s="131" t="s">
        <v>135</v>
      </c>
      <c r="B23" s="131" t="s">
        <v>158</v>
      </c>
      <c r="C23" s="131" t="s">
        <v>183</v>
      </c>
      <c r="D23" s="131" t="s">
        <v>154</v>
      </c>
      <c r="E23" s="123" t="str">
        <f>IF(Gecorrigeerd!$J$1=Taal!$B$1,B23,IF(Gecorrigeerd!$J$1=Taal!$C$1,C23,D23))</f>
        <v>Measure b3</v>
      </c>
    </row>
    <row r="24" spans="1:5" ht="16.5" customHeight="1">
      <c r="A24" s="131" t="s">
        <v>136</v>
      </c>
      <c r="B24" s="131" t="s">
        <v>159</v>
      </c>
      <c r="C24" s="131" t="s">
        <v>176</v>
      </c>
      <c r="D24" s="131" t="s">
        <v>155</v>
      </c>
      <c r="E24" s="123" t="str">
        <f>IF(Gecorrigeerd!$J$1=Taal!$B$1,B24,IF(Gecorrigeerd!$J$1=Taal!$C$1,C24,D24))</f>
        <v>Bending force per meter Fb</v>
      </c>
    </row>
    <row r="25" spans="1:5" ht="16.5" customHeight="1" thickBot="1">
      <c r="A25" s="134" t="s">
        <v>137</v>
      </c>
      <c r="B25" s="134" t="s">
        <v>191</v>
      </c>
      <c r="C25" s="134" t="s">
        <v>177</v>
      </c>
      <c r="D25" s="134" t="s">
        <v>103</v>
      </c>
      <c r="E25" s="124" t="str">
        <f>IF(Gecorrigeerd!$J$1=Taal!$B$1,B25,IF(Gecorrigeerd!$J$1=Taal!$C$1,C25,D25))</f>
        <v>Total required force Ftot</v>
      </c>
    </row>
    <row r="26" spans="1:5" ht="16.5" customHeight="1">
      <c r="A26" s="129" t="s">
        <v>138</v>
      </c>
      <c r="B26" s="129" t="s">
        <v>1</v>
      </c>
      <c r="C26" s="129" t="s">
        <v>1</v>
      </c>
      <c r="D26" s="129" t="s">
        <v>1</v>
      </c>
      <c r="E26" s="122" t="str">
        <f>IF(Gecorrigeerd!$J$1=Taal!$B$1,B26,IF(Gecorrigeerd!$J$1=Taal!$C$1,C26,D26))</f>
        <v>mm</v>
      </c>
    </row>
    <row r="27" spans="1:5" ht="16.5" customHeight="1">
      <c r="A27" s="131" t="s">
        <v>139</v>
      </c>
      <c r="B27" s="131" t="s">
        <v>1</v>
      </c>
      <c r="C27" s="131" t="s">
        <v>1</v>
      </c>
      <c r="D27" s="131" t="s">
        <v>1</v>
      </c>
      <c r="E27" s="123" t="str">
        <f>IF(Gecorrigeerd!$J$1=Taal!$B$1,B27,IF(Gecorrigeerd!$J$1=Taal!$C$1,C27,D27))</f>
        <v>mm</v>
      </c>
    </row>
    <row r="28" spans="1:5" ht="16.5" customHeight="1">
      <c r="A28" s="131" t="s">
        <v>140</v>
      </c>
      <c r="B28" s="131" t="s">
        <v>1</v>
      </c>
      <c r="C28" s="131" t="s">
        <v>1</v>
      </c>
      <c r="D28" s="131" t="s">
        <v>1</v>
      </c>
      <c r="E28" s="123" t="str">
        <f>IF(Gecorrigeerd!$J$1=Taal!$B$1,B28,IF(Gecorrigeerd!$J$1=Taal!$C$1,C28,D28))</f>
        <v>mm</v>
      </c>
    </row>
    <row r="29" spans="1:5" ht="16.5" customHeight="1">
      <c r="A29" s="131" t="s">
        <v>141</v>
      </c>
      <c r="B29" s="131" t="s">
        <v>1</v>
      </c>
      <c r="C29" s="131" t="s">
        <v>1</v>
      </c>
      <c r="D29" s="131" t="s">
        <v>1</v>
      </c>
      <c r="E29" s="123" t="str">
        <f>IF(Gecorrigeerd!$J$1=Taal!$B$1,B29,IF(Gecorrigeerd!$J$1=Taal!$C$1,C29,D29))</f>
        <v>mm</v>
      </c>
    </row>
    <row r="30" spans="1:5" ht="16.5" customHeight="1">
      <c r="A30" s="131" t="s">
        <v>142</v>
      </c>
      <c r="B30" s="131" t="s">
        <v>1</v>
      </c>
      <c r="C30" s="131" t="s">
        <v>1</v>
      </c>
      <c r="D30" s="131" t="s">
        <v>1</v>
      </c>
      <c r="E30" s="123" t="str">
        <f>IF(Gecorrigeerd!$J$1=Taal!$B$1,B30,IF(Gecorrigeerd!$J$1=Taal!$C$1,C30,D30))</f>
        <v>mm</v>
      </c>
    </row>
    <row r="31" spans="1:5" ht="16.5" customHeight="1">
      <c r="A31" s="131" t="s">
        <v>143</v>
      </c>
      <c r="B31" s="131" t="s">
        <v>1</v>
      </c>
      <c r="C31" s="131" t="s">
        <v>1</v>
      </c>
      <c r="D31" s="131" t="s">
        <v>1</v>
      </c>
      <c r="E31" s="123" t="str">
        <f>IF(Gecorrigeerd!$J$1=Taal!$B$1,B31,IF(Gecorrigeerd!$J$1=Taal!$C$1,C31,D31))</f>
        <v>mm</v>
      </c>
    </row>
    <row r="32" spans="1:5" ht="16.5" customHeight="1">
      <c r="A32" s="131" t="s">
        <v>144</v>
      </c>
      <c r="B32" s="131" t="s">
        <v>28</v>
      </c>
      <c r="C32" s="131" t="s">
        <v>28</v>
      </c>
      <c r="D32" s="131" t="s">
        <v>28</v>
      </c>
      <c r="E32" s="123" t="str">
        <f>IF(Gecorrigeerd!$J$1=Taal!$B$1,B32,IF(Gecorrigeerd!$J$1=Taal!$C$1,C32,D32))</f>
        <v>ton/m</v>
      </c>
    </row>
    <row r="33" spans="1:5" ht="16.5" customHeight="1" thickBot="1">
      <c r="A33" s="134" t="s">
        <v>145</v>
      </c>
      <c r="B33" s="134" t="s">
        <v>104</v>
      </c>
      <c r="C33" s="134" t="s">
        <v>104</v>
      </c>
      <c r="D33" s="134" t="s">
        <v>104</v>
      </c>
      <c r="E33" s="124" t="str">
        <f>IF(Gecorrigeerd!$J$1=Taal!$B$1,B33,IF(Gecorrigeerd!$J$1=Taal!$C$1,C33,D33))</f>
        <v>ton</v>
      </c>
    </row>
    <row r="34" spans="1:5" ht="16.5" customHeight="1">
      <c r="A34" s="129" t="s">
        <v>146</v>
      </c>
      <c r="B34" s="129" t="s">
        <v>204</v>
      </c>
      <c r="C34" s="129" t="s">
        <v>185</v>
      </c>
      <c r="D34" s="129" t="s">
        <v>160</v>
      </c>
      <c r="E34" s="122" t="str">
        <f>IF(Gecorrigeerd!$J$1=Taal!$B$1,B34,IF(Gecorrigeerd!$J$1=Taal!$C$1,C34,D34))</f>
        <v>Bending angle should be between</v>
      </c>
    </row>
    <row r="35" spans="1:5" ht="16.5" customHeight="1">
      <c r="A35" s="131" t="s">
        <v>147</v>
      </c>
      <c r="B35" s="131" t="s">
        <v>205</v>
      </c>
      <c r="C35" s="131" t="s">
        <v>197</v>
      </c>
      <c r="D35" s="131" t="s">
        <v>163</v>
      </c>
      <c r="E35" s="123" t="str">
        <f>IF(Gecorrigeerd!$J$1=Taal!$B$1,B35,IF(Gecorrigeerd!$J$1=Taal!$C$1,C35,D35))</f>
        <v>V opening should be between</v>
      </c>
    </row>
    <row r="36" spans="1:5" ht="16.5" customHeight="1">
      <c r="A36" s="131" t="s">
        <v>148</v>
      </c>
      <c r="B36" s="131" t="s">
        <v>207</v>
      </c>
      <c r="C36" s="131" t="s">
        <v>203</v>
      </c>
      <c r="D36" s="131" t="s">
        <v>168</v>
      </c>
      <c r="E36" s="123" t="str">
        <f>IF(Gecorrigeerd!$J$1=Taal!$B$1,B36,IF(Gecorrigeerd!$J$1=Taal!$C$1,C36,D36))</f>
        <v>Penetration depth is to big!</v>
      </c>
    </row>
    <row r="37" spans="1:5" ht="16.5" customHeight="1" thickBot="1">
      <c r="A37" s="131" t="s">
        <v>149</v>
      </c>
      <c r="B37" s="131" t="s">
        <v>206</v>
      </c>
      <c r="C37" s="131" t="s">
        <v>178</v>
      </c>
      <c r="D37" s="131" t="s">
        <v>169</v>
      </c>
      <c r="E37" s="124" t="str">
        <f>IF(Gecorrigeerd!$J$1=Taal!$B$1,B37,IF(Gecorrigeerd!$J$1=Taal!$C$1,C37,D37))</f>
        <v>Load is too big!</v>
      </c>
    </row>
    <row r="38" spans="1:5" ht="16.5" customHeight="1">
      <c r="A38" s="129" t="s">
        <v>161</v>
      </c>
      <c r="B38" s="129" t="s">
        <v>171</v>
      </c>
      <c r="C38" s="129" t="s">
        <v>173</v>
      </c>
      <c r="D38" s="129" t="s">
        <v>162</v>
      </c>
      <c r="E38" s="122" t="str">
        <f>IF(Gecorrigeerd!$J$1=Taal!$B$1,B38,IF(Gecorrigeerd!$J$1=Taal!$C$1,C38,D38))</f>
        <v>and 180 degrees!</v>
      </c>
    </row>
    <row r="39" spans="1:5" ht="16.5" customHeight="1" thickBot="1">
      <c r="A39" s="134" t="s">
        <v>164</v>
      </c>
      <c r="B39" s="134" t="s">
        <v>170</v>
      </c>
      <c r="C39" s="134" t="s">
        <v>172</v>
      </c>
      <c r="D39" s="135" t="s">
        <v>166</v>
      </c>
      <c r="E39" s="124" t="str">
        <f>IF(Gecorrigeerd!$J$1=Taal!$B$1,B39,IF(Gecorrigeerd!$J$1=Taal!$C$1,C39,D39))</f>
        <v>and</v>
      </c>
    </row>
    <row r="40" spans="1:5" ht="16.5" customHeight="1" thickBot="1">
      <c r="A40" s="134" t="s">
        <v>165</v>
      </c>
      <c r="B40" s="134" t="s">
        <v>167</v>
      </c>
      <c r="C40" s="134" t="s">
        <v>167</v>
      </c>
      <c r="D40" s="134" t="s">
        <v>167</v>
      </c>
      <c r="E40" s="125" t="str">
        <f>IF(Gecorrigeerd!$J$1=Taal!$B$1,B40,IF(Gecorrigeerd!$J$1=Taal!$C$1,C40,D40))</f>
        <v>mm!</v>
      </c>
    </row>
  </sheetData>
  <sheetProtection password="C93A" sheet="1" objects="1" scenarios="1" selectLockedCells="1"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3:Q54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12" customWidth="1"/>
    <col min="2" max="2" width="13.7109375" style="12" bestFit="1" customWidth="1"/>
    <col min="3" max="3" width="9.140625" style="12" customWidth="1"/>
    <col min="4" max="4" width="9.00390625" style="12" hidden="1" customWidth="1"/>
    <col min="5" max="7" width="9.140625" style="12" hidden="1" customWidth="1"/>
    <col min="8" max="9" width="9.140625" style="12" customWidth="1"/>
    <col min="10" max="10" width="22.8515625" style="12" customWidth="1"/>
    <col min="11" max="16384" width="9.140625" style="12" customWidth="1"/>
  </cols>
  <sheetData>
    <row r="1" ht="12.75"/>
    <row r="2" ht="12.75"/>
    <row r="3" spans="1:2" ht="12.75">
      <c r="A3" s="12" t="s">
        <v>4</v>
      </c>
      <c r="B3" s="48">
        <v>80</v>
      </c>
    </row>
    <row r="4" spans="1:17" ht="12.75">
      <c r="A4" s="49" t="s">
        <v>9</v>
      </c>
      <c r="B4" s="48">
        <v>134</v>
      </c>
      <c r="D4" s="49" t="s">
        <v>15</v>
      </c>
      <c r="E4" s="50">
        <f>180-B4</f>
        <v>46</v>
      </c>
      <c r="F4" s="12" t="s">
        <v>0</v>
      </c>
      <c r="G4" s="50">
        <f>(E4/180)*PI()</f>
        <v>0.8028514559173915</v>
      </c>
      <c r="H4" s="50"/>
      <c r="I4" s="50"/>
      <c r="M4" s="51"/>
      <c r="N4" s="52"/>
      <c r="Q4" s="50"/>
    </row>
    <row r="5" spans="1:3" ht="12.75">
      <c r="A5" s="12" t="s">
        <v>2</v>
      </c>
      <c r="B5" s="48">
        <v>15</v>
      </c>
      <c r="C5" s="12" t="s">
        <v>1</v>
      </c>
    </row>
    <row r="6" spans="1:3" ht="12">
      <c r="A6" s="12" t="s">
        <v>26</v>
      </c>
      <c r="B6" s="48">
        <v>450</v>
      </c>
      <c r="C6" s="12" t="s">
        <v>27</v>
      </c>
    </row>
    <row r="7" spans="1:3" ht="12">
      <c r="A7" s="12" t="s">
        <v>10</v>
      </c>
      <c r="B7" s="48">
        <v>12.5</v>
      </c>
      <c r="C7" s="12" t="s">
        <v>1</v>
      </c>
    </row>
    <row r="8" ht="12" customHeight="1">
      <c r="B8" s="53"/>
    </row>
    <row r="9" ht="12" hidden="1"/>
    <row r="10" ht="12" hidden="1">
      <c r="B10" s="54"/>
    </row>
    <row r="11" spans="1:17" ht="12" hidden="1">
      <c r="A11" s="49" t="s">
        <v>8</v>
      </c>
      <c r="B11" s="55">
        <f>B4/2</f>
        <v>67</v>
      </c>
      <c r="D11" s="12" t="s">
        <v>0</v>
      </c>
      <c r="E11" s="50">
        <f>(B11/180)*PI()</f>
        <v>1.1693705988362009</v>
      </c>
      <c r="N11" s="55"/>
      <c r="Q11" s="50"/>
    </row>
    <row r="12" spans="1:17" ht="12" hidden="1">
      <c r="A12" s="49" t="s">
        <v>14</v>
      </c>
      <c r="B12" s="55">
        <f>90-B11</f>
        <v>23</v>
      </c>
      <c r="D12" s="12" t="s">
        <v>0</v>
      </c>
      <c r="E12" s="50">
        <f>(B12/180)*PI()</f>
        <v>0.40142572795869574</v>
      </c>
      <c r="N12" s="55"/>
      <c r="Q12" s="50"/>
    </row>
    <row r="13" spans="1:17" ht="12" hidden="1">
      <c r="A13" s="49"/>
      <c r="B13" s="9"/>
      <c r="E13" s="50"/>
      <c r="N13" s="55"/>
      <c r="Q13" s="50"/>
    </row>
    <row r="14" spans="1:17" ht="12" hidden="1">
      <c r="A14" s="49"/>
      <c r="B14" s="9"/>
      <c r="E14" s="50"/>
      <c r="N14" s="55"/>
      <c r="Q14" s="50"/>
    </row>
    <row r="15" spans="1:4" ht="12" hidden="1">
      <c r="A15" s="49" t="s">
        <v>6</v>
      </c>
      <c r="B15" s="56">
        <v>3.5</v>
      </c>
      <c r="C15" s="12" t="s">
        <v>7</v>
      </c>
      <c r="D15" s="12" t="s">
        <v>43</v>
      </c>
    </row>
    <row r="16" spans="1:14" ht="12" hidden="1">
      <c r="A16" s="49" t="s">
        <v>13</v>
      </c>
      <c r="B16" s="9">
        <f>B15*B5</f>
        <v>52.5</v>
      </c>
      <c r="C16" s="12" t="s">
        <v>1</v>
      </c>
      <c r="N16" s="11"/>
    </row>
    <row r="17" spans="1:14" ht="12" hidden="1">
      <c r="A17" s="12" t="s">
        <v>3</v>
      </c>
      <c r="B17" s="9">
        <f>B16*COS(E12)</f>
        <v>48.32650480625312</v>
      </c>
      <c r="C17" s="12" t="s">
        <v>1</v>
      </c>
      <c r="N17" s="9"/>
    </row>
    <row r="18" spans="1:14" ht="12" hidden="1">
      <c r="A18" s="12" t="s">
        <v>36</v>
      </c>
      <c r="B18" s="9">
        <f>(B3+B5)*SIN(E12)</f>
        <v>37.119457206481</v>
      </c>
      <c r="C18" s="12" t="s">
        <v>1</v>
      </c>
      <c r="N18" s="9"/>
    </row>
    <row r="19" spans="1:14" ht="12" hidden="1">
      <c r="A19" s="12" t="s">
        <v>5</v>
      </c>
      <c r="B19" s="9">
        <f>B15*B5*SIN(E12)</f>
        <v>20.51338424568687</v>
      </c>
      <c r="C19" s="12" t="s">
        <v>1</v>
      </c>
      <c r="J19" s="12" t="s">
        <v>5</v>
      </c>
      <c r="K19" s="12">
        <f>K30*B5*SIN(E12)</f>
        <v>11.834588278102993</v>
      </c>
      <c r="L19" s="12" t="s">
        <v>1</v>
      </c>
      <c r="N19" s="9"/>
    </row>
    <row r="20" spans="1:3" ht="12" hidden="1">
      <c r="A20" s="12" t="s">
        <v>38</v>
      </c>
      <c r="B20" s="9">
        <f>B7*COS(E12)</f>
        <v>11.506310668155505</v>
      </c>
      <c r="C20" s="12" t="s">
        <v>1</v>
      </c>
    </row>
    <row r="21" spans="1:3" ht="12" hidden="1">
      <c r="A21" s="12" t="s">
        <v>47</v>
      </c>
      <c r="B21" s="9">
        <f>(B3+B5)*COS(E11)</f>
        <v>37.119457206481</v>
      </c>
      <c r="C21" s="12" t="s">
        <v>1</v>
      </c>
    </row>
    <row r="22" ht="12" hidden="1">
      <c r="B22" s="9"/>
    </row>
    <row r="23" spans="1:12" ht="12" hidden="1">
      <c r="A23" s="12" t="s">
        <v>12</v>
      </c>
      <c r="B23" s="9">
        <f>8.5*B5</f>
        <v>127.5</v>
      </c>
      <c r="C23" s="12" t="s">
        <v>1</v>
      </c>
      <c r="D23" s="12" t="s">
        <v>56</v>
      </c>
      <c r="J23" s="12" t="s">
        <v>57</v>
      </c>
      <c r="K23" s="11">
        <f>K26-B24</f>
        <v>-40.891924025468256</v>
      </c>
      <c r="L23" s="12" t="s">
        <v>1</v>
      </c>
    </row>
    <row r="24" spans="1:4" ht="12" hidden="1">
      <c r="A24" s="12" t="s">
        <v>12</v>
      </c>
      <c r="B24" s="10">
        <f>2*(B17+B18)</f>
        <v>170.89192402546826</v>
      </c>
      <c r="C24" s="12" t="s">
        <v>1</v>
      </c>
      <c r="D24" s="12" t="s">
        <v>37</v>
      </c>
    </row>
    <row r="25" spans="1:2" ht="12" hidden="1">
      <c r="A25" s="12" t="s">
        <v>12</v>
      </c>
      <c r="B25" s="10">
        <f>2*(B17+B18)</f>
        <v>170.89192402546826</v>
      </c>
    </row>
    <row r="26" spans="1:12" ht="12">
      <c r="A26" s="12" t="s">
        <v>12</v>
      </c>
      <c r="B26" s="57">
        <f>B24</f>
        <v>170.89192402546826</v>
      </c>
      <c r="C26" s="12" t="s">
        <v>1</v>
      </c>
      <c r="J26" s="58" t="s">
        <v>29</v>
      </c>
      <c r="K26" s="59">
        <v>130</v>
      </c>
      <c r="L26" s="12" t="s">
        <v>1</v>
      </c>
    </row>
    <row r="27" spans="2:11" ht="13.5" customHeight="1">
      <c r="B27" s="57"/>
      <c r="J27" s="58"/>
      <c r="K27" s="60"/>
    </row>
    <row r="28" spans="1:12" ht="12" hidden="1">
      <c r="A28" s="12" t="s">
        <v>44</v>
      </c>
      <c r="B28" s="61">
        <f>K28*COS(E11)</f>
        <v>27.590863053624304</v>
      </c>
      <c r="C28" s="12" t="s">
        <v>1</v>
      </c>
      <c r="J28" s="12" t="s">
        <v>40</v>
      </c>
      <c r="K28" s="11">
        <f>(K26/2)/(SIN(E11))</f>
        <v>70.61342453134425</v>
      </c>
      <c r="L28" s="12" t="s">
        <v>1</v>
      </c>
    </row>
    <row r="29" spans="1:11" ht="12" hidden="1">
      <c r="A29" s="12" t="s">
        <v>45</v>
      </c>
      <c r="B29" s="9">
        <f>B7-B20</f>
        <v>0.9936893318444948</v>
      </c>
      <c r="C29" s="12" t="s">
        <v>1</v>
      </c>
      <c r="D29" s="12" t="s">
        <v>46</v>
      </c>
      <c r="J29" s="12" t="s">
        <v>35</v>
      </c>
      <c r="K29" s="12">
        <f>(B5+B3)/TAN(E11)</f>
        <v>40.325107539912445</v>
      </c>
    </row>
    <row r="30" spans="1:11" ht="12" hidden="1">
      <c r="A30" s="12" t="s">
        <v>48</v>
      </c>
      <c r="B30" s="9">
        <f>B21*TAN(E12)</f>
        <v>15.75627477552131</v>
      </c>
      <c r="C30" s="12" t="s">
        <v>1</v>
      </c>
      <c r="J30" s="12" t="s">
        <v>41</v>
      </c>
      <c r="K30" s="12">
        <f>(K28-K29)/B5</f>
        <v>2.0192211327621203</v>
      </c>
    </row>
    <row r="31" spans="1:12" ht="12" hidden="1">
      <c r="A31" s="12" t="s">
        <v>49</v>
      </c>
      <c r="B31" s="9">
        <f>B28-(B5+B3)</f>
        <v>-67.4091369463757</v>
      </c>
      <c r="C31" s="12" t="s">
        <v>1</v>
      </c>
      <c r="J31" s="49" t="s">
        <v>13</v>
      </c>
      <c r="K31" s="12">
        <f>K30*B5</f>
        <v>30.288316991431806</v>
      </c>
      <c r="L31" s="12" t="s">
        <v>1</v>
      </c>
    </row>
    <row r="32" spans="1:10" ht="12" hidden="1">
      <c r="A32" s="12" t="s">
        <v>20</v>
      </c>
      <c r="B32" s="9">
        <f>0.5*B24*TAN(E11)</f>
        <v>201.29807175778623</v>
      </c>
      <c r="C32" s="12" t="s">
        <v>1</v>
      </c>
      <c r="D32" s="12" t="s">
        <v>50</v>
      </c>
      <c r="J32" s="49"/>
    </row>
    <row r="33" spans="2:10" ht="12" hidden="1">
      <c r="B33" s="9"/>
      <c r="J33" s="49"/>
    </row>
    <row r="34" spans="1:10" ht="12" hidden="1">
      <c r="A34" s="12" t="s">
        <v>51</v>
      </c>
      <c r="B34" s="9"/>
      <c r="J34" s="49"/>
    </row>
    <row r="35" spans="1:10" ht="12" hidden="1">
      <c r="A35" s="12" t="s">
        <v>52</v>
      </c>
      <c r="B35" s="9">
        <f>B18*TAN(E11)</f>
        <v>87.44796107798183</v>
      </c>
      <c r="C35" s="12" t="s">
        <v>1</v>
      </c>
      <c r="J35" s="49"/>
    </row>
    <row r="36" spans="1:10" ht="12" hidden="1">
      <c r="A36" s="12" t="s">
        <v>53</v>
      </c>
      <c r="B36" s="9">
        <f>B18*TAN(E12)</f>
        <v>15.75627477552131</v>
      </c>
      <c r="C36" s="12" t="s">
        <v>1</v>
      </c>
      <c r="J36" s="49"/>
    </row>
    <row r="37" spans="1:10" ht="12" hidden="1">
      <c r="A37" s="12" t="s">
        <v>54</v>
      </c>
      <c r="B37" s="9">
        <f>(B3+B5)-B36</f>
        <v>79.2437252244787</v>
      </c>
      <c r="C37" s="12" t="s">
        <v>1</v>
      </c>
      <c r="D37" s="12" t="s">
        <v>55</v>
      </c>
      <c r="J37" s="49"/>
    </row>
    <row r="38" spans="2:10" ht="12" hidden="1">
      <c r="B38" s="9"/>
      <c r="J38" s="49"/>
    </row>
    <row r="39" spans="1:12" ht="12" hidden="1">
      <c r="A39" s="12" t="s">
        <v>11</v>
      </c>
      <c r="B39" s="9">
        <f>B37+B19+B29</f>
        <v>100.75079880201005</v>
      </c>
      <c r="C39" s="12" t="s">
        <v>1</v>
      </c>
      <c r="J39" s="12" t="s">
        <v>11</v>
      </c>
      <c r="K39" s="11">
        <f>B37+K19+B29</f>
        <v>92.07200283442619</v>
      </c>
      <c r="L39" s="12" t="s">
        <v>1</v>
      </c>
    </row>
    <row r="40" spans="1:12" ht="12">
      <c r="A40" s="12" t="s">
        <v>11</v>
      </c>
      <c r="B40" s="57">
        <f>B39</f>
        <v>100.75079880201005</v>
      </c>
      <c r="C40" s="12" t="s">
        <v>1</v>
      </c>
      <c r="J40" s="12" t="s">
        <v>11</v>
      </c>
      <c r="K40" s="57">
        <f>K39</f>
        <v>92.07200283442619</v>
      </c>
      <c r="L40" s="12" t="s">
        <v>1</v>
      </c>
    </row>
    <row r="41" spans="2:11" ht="12">
      <c r="B41" s="9"/>
      <c r="K41" s="62"/>
    </row>
    <row r="42" spans="1:14" ht="12" hidden="1">
      <c r="A42" s="12" t="s">
        <v>32</v>
      </c>
      <c r="B42" s="9">
        <f>B3*G4</f>
        <v>64.22811647339132</v>
      </c>
      <c r="C42" s="12" t="s">
        <v>1</v>
      </c>
      <c r="K42" s="62"/>
      <c r="N42" s="9"/>
    </row>
    <row r="43" spans="1:14" ht="12" hidden="1">
      <c r="A43" s="12" t="s">
        <v>33</v>
      </c>
      <c r="B43" s="9">
        <f>(B3+B5)*G4</f>
        <v>76.2708883121522</v>
      </c>
      <c r="C43" s="12" t="s">
        <v>1</v>
      </c>
      <c r="K43" s="62"/>
      <c r="N43" s="9"/>
    </row>
    <row r="44" spans="1:14" ht="12" hidden="1">
      <c r="A44" s="12" t="s">
        <v>34</v>
      </c>
      <c r="B44" s="9">
        <f>(B42+B43)/2</f>
        <v>70.24950239277176</v>
      </c>
      <c r="C44" s="12" t="s">
        <v>1</v>
      </c>
      <c r="K44" s="62"/>
      <c r="N44" s="9"/>
    </row>
    <row r="45" spans="1:14" ht="12" hidden="1">
      <c r="A45" s="12" t="s">
        <v>39</v>
      </c>
      <c r="B45" s="10">
        <f>B44+2*B16</f>
        <v>175.24950239277177</v>
      </c>
      <c r="C45" s="12" t="s">
        <v>1</v>
      </c>
      <c r="D45" s="12" t="s">
        <v>42</v>
      </c>
      <c r="J45" s="12" t="s">
        <v>39</v>
      </c>
      <c r="K45" s="63">
        <f>2*K31+B44</f>
        <v>130.82613637563537</v>
      </c>
      <c r="L45" s="12" t="s">
        <v>1</v>
      </c>
      <c r="N45" s="10"/>
    </row>
    <row r="46" spans="1:12" ht="12">
      <c r="A46" s="12" t="s">
        <v>39</v>
      </c>
      <c r="B46" s="57">
        <f>B45/2</f>
        <v>87.62475119638589</v>
      </c>
      <c r="C46" s="12" t="s">
        <v>1</v>
      </c>
      <c r="J46" s="12" t="s">
        <v>39</v>
      </c>
      <c r="K46" s="57">
        <f>K45/2</f>
        <v>65.41306818781769</v>
      </c>
      <c r="L46" s="12" t="s">
        <v>1</v>
      </c>
    </row>
    <row r="47" spans="2:11" ht="12">
      <c r="B47" s="10"/>
      <c r="K47" s="62"/>
    </row>
    <row r="48" spans="1:12" ht="12" hidden="1">
      <c r="A48" s="12" t="s">
        <v>25</v>
      </c>
      <c r="B48" s="64">
        <v>129.51969778737183</v>
      </c>
      <c r="C48" s="12" t="s">
        <v>28</v>
      </c>
      <c r="E48" s="50"/>
      <c r="G48" s="50"/>
      <c r="H48" s="50"/>
      <c r="I48" s="50"/>
      <c r="J48" s="12" t="s">
        <v>25</v>
      </c>
      <c r="K48" s="64">
        <v>190.6723048869715</v>
      </c>
      <c r="L48" s="12" t="s">
        <v>28</v>
      </c>
    </row>
    <row r="49" spans="1:14" ht="12">
      <c r="A49" s="12" t="s">
        <v>25</v>
      </c>
      <c r="B49" s="65">
        <f>B48</f>
        <v>129.51969778737183</v>
      </c>
      <c r="C49" s="12" t="s">
        <v>28</v>
      </c>
      <c r="J49" s="12" t="s">
        <v>25</v>
      </c>
      <c r="K49" s="65">
        <f>K48</f>
        <v>190.6723048869715</v>
      </c>
      <c r="L49" s="12" t="s">
        <v>28</v>
      </c>
      <c r="N49" s="10"/>
    </row>
    <row r="50" spans="11:14" ht="12">
      <c r="K50" s="62"/>
      <c r="N50" s="10"/>
    </row>
    <row r="51" ht="12">
      <c r="K51" s="62"/>
    </row>
    <row r="52" ht="12">
      <c r="K52" s="62"/>
    </row>
    <row r="53" spans="2:11" ht="12">
      <c r="B53" s="66"/>
      <c r="K53" s="62"/>
    </row>
    <row r="54" spans="2:11" ht="12">
      <c r="B54" s="66"/>
      <c r="K54" s="62"/>
    </row>
    <row r="59" ht="12" hidden="1"/>
  </sheetData>
  <sheetProtection password="C93A" sheet="1" objects="1" scenarios="1" selectLockedCells="1" selectUnlockedCells="1"/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Feijen</dc:creator>
  <cp:keywords/>
  <dc:description/>
  <cp:lastModifiedBy>Frank Claessens</cp:lastModifiedBy>
  <cp:lastPrinted>2012-12-10T09:38:03Z</cp:lastPrinted>
  <dcterms:created xsi:type="dcterms:W3CDTF">2009-01-24T11:15:24Z</dcterms:created>
  <dcterms:modified xsi:type="dcterms:W3CDTF">2015-07-09T21:09:16Z</dcterms:modified>
  <cp:category/>
  <cp:version/>
  <cp:contentType/>
  <cp:contentStatus/>
</cp:coreProperties>
</file>